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baf2666ba065990c/Desktop/"/>
    </mc:Choice>
  </mc:AlternateContent>
  <xr:revisionPtr revIDLastSave="0" documentId="13_ncr:1_{0BE88D28-40AC-4B7F-85C2-7B6F460BEF03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0" i="1" l="1"/>
  <c r="F11" i="1"/>
  <c r="C16" i="1"/>
  <c r="C40" i="1"/>
  <c r="K6" i="1" s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C8" i="1"/>
  <c r="M6" i="1" s="1"/>
  <c r="D16" i="1" l="1"/>
  <c r="E16" i="1" s="1"/>
  <c r="F16" i="1" s="1"/>
  <c r="N6" i="1"/>
  <c r="O6" i="1" s="1"/>
  <c r="O7" i="1" s="1"/>
  <c r="J6" i="1"/>
  <c r="D17" i="1" l="1"/>
  <c r="D18" i="1" s="1"/>
  <c r="O8" i="1"/>
  <c r="M2" i="1"/>
  <c r="M3" i="1"/>
  <c r="E17" i="1" l="1"/>
  <c r="F17" i="1" s="1"/>
  <c r="E18" i="1"/>
  <c r="F18" i="1" s="1"/>
  <c r="D19" i="1"/>
  <c r="E19" i="1" l="1"/>
  <c r="F19" i="1" s="1"/>
  <c r="D20" i="1"/>
  <c r="D21" i="1" l="1"/>
  <c r="E20" i="1"/>
  <c r="F20" i="1" s="1"/>
  <c r="D22" i="1" l="1"/>
  <c r="E21" i="1"/>
  <c r="F21" i="1" s="1"/>
  <c r="E22" i="1" l="1"/>
  <c r="F22" i="1" s="1"/>
  <c r="D23" i="1"/>
  <c r="D24" i="1" l="1"/>
  <c r="E23" i="1"/>
  <c r="F23" i="1" s="1"/>
  <c r="D25" i="1" l="1"/>
  <c r="E24" i="1"/>
  <c r="F24" i="1" s="1"/>
  <c r="D26" i="1" l="1"/>
  <c r="E25" i="1"/>
  <c r="F25" i="1" s="1"/>
  <c r="E26" i="1" l="1"/>
  <c r="F26" i="1" s="1"/>
  <c r="D27" i="1"/>
  <c r="D28" i="1" l="1"/>
  <c r="E27" i="1"/>
  <c r="F27" i="1" s="1"/>
  <c r="D29" i="1" l="1"/>
  <c r="E28" i="1"/>
  <c r="F28" i="1" s="1"/>
  <c r="D30" i="1" l="1"/>
  <c r="E29" i="1"/>
  <c r="F29" i="1" s="1"/>
  <c r="E30" i="1" l="1"/>
  <c r="F30" i="1" s="1"/>
  <c r="D31" i="1"/>
  <c r="D32" i="1" l="1"/>
  <c r="E31" i="1"/>
  <c r="F31" i="1" s="1"/>
  <c r="D33" i="1" l="1"/>
  <c r="E32" i="1"/>
  <c r="F32" i="1" s="1"/>
  <c r="D34" i="1" l="1"/>
  <c r="E33" i="1"/>
  <c r="F33" i="1" s="1"/>
  <c r="E34" i="1" l="1"/>
  <c r="F34" i="1" s="1"/>
  <c r="D35" i="1"/>
  <c r="E35" i="1" l="1"/>
  <c r="F35" i="1" s="1"/>
  <c r="D36" i="1"/>
  <c r="D39" i="1" l="1"/>
  <c r="D37" i="1"/>
  <c r="E36" i="1"/>
  <c r="F36" i="1" s="1"/>
  <c r="E37" i="1" l="1"/>
  <c r="F37" i="1" s="1"/>
  <c r="D38" i="1"/>
  <c r="E38" i="1" s="1"/>
  <c r="F38" i="1" s="1"/>
  <c r="E39" i="1"/>
  <c r="F39" i="1" s="1"/>
  <c r="F40" i="1"/>
  <c r="L7" i="1" s="1"/>
  <c r="J3" i="1" l="1"/>
  <c r="L6" i="1"/>
  <c r="L8" i="1" s="1"/>
  <c r="J2" i="1"/>
</calcChain>
</file>

<file path=xl/sharedStrings.xml><?xml version="1.0" encoding="utf-8"?>
<sst xmlns="http://schemas.openxmlformats.org/spreadsheetml/2006/main" count="79" uniqueCount="61">
  <si>
    <t>THIS IS BASED ON 24 VOLT DEVICES ONLY</t>
  </si>
  <si>
    <t>Point to Point Method</t>
  </si>
  <si>
    <t>End of Line Method</t>
  </si>
  <si>
    <t>Project Name</t>
  </si>
  <si>
    <t>Calculations and allowable</t>
  </si>
  <si>
    <t>Date</t>
  </si>
  <si>
    <t xml:space="preserve">voltage drop are based on </t>
  </si>
  <si>
    <t>Circuit Number</t>
  </si>
  <si>
    <t>revised UL 1971 &amp; 464 standards</t>
  </si>
  <si>
    <t>Totals</t>
  </si>
  <si>
    <t>Voltage</t>
  </si>
  <si>
    <t>Area Covered</t>
  </si>
  <si>
    <t>for current and limits.</t>
  </si>
  <si>
    <t>Current</t>
  </si>
  <si>
    <t>Distance</t>
  </si>
  <si>
    <t>Drop</t>
  </si>
  <si>
    <t>Nominal System Voltage</t>
  </si>
  <si>
    <t>Minimum Device Voltage</t>
  </si>
  <si>
    <t>End of Line Voltage</t>
  </si>
  <si>
    <t>Total Circuit Current</t>
  </si>
  <si>
    <t>Wire</t>
  </si>
  <si>
    <t>Ohm's</t>
  </si>
  <si>
    <t>Percent Drop</t>
  </si>
  <si>
    <t>Gauge</t>
  </si>
  <si>
    <t>Per 1000</t>
  </si>
  <si>
    <t>End of Line method uses only the wire guage for the first device to source for calculation</t>
  </si>
  <si>
    <t>Distance from source to 1st device</t>
  </si>
  <si>
    <t>Wire Gauge for balance of circuit</t>
  </si>
  <si>
    <t>Enter current in amps.</t>
  </si>
  <si>
    <t xml:space="preserve">Distance </t>
  </si>
  <si>
    <t>.150 = 150 ma</t>
  </si>
  <si>
    <t>from</t>
  </si>
  <si>
    <t>This circuit is sourced from:</t>
  </si>
  <si>
    <t>Device</t>
  </si>
  <si>
    <t>previous</t>
  </si>
  <si>
    <t xml:space="preserve"> At</t>
  </si>
  <si>
    <t>Drop from</t>
  </si>
  <si>
    <t>Percent</t>
  </si>
  <si>
    <t>Number</t>
  </si>
  <si>
    <t>device</t>
  </si>
  <si>
    <t>source</t>
  </si>
  <si>
    <t>Device 1</t>
  </si>
  <si>
    <t>Notes:</t>
  </si>
  <si>
    <t>Wire resistance is doubled in the calculations for two wires (Positive and Negative)</t>
  </si>
  <si>
    <t>The voltage calculated to the last device in any method must not be lower then</t>
  </si>
  <si>
    <t>the manufactures listed minimum operating voltage (IE: rated operating voltage16-33 VDC).</t>
  </si>
  <si>
    <t>Device Manufacturer</t>
  </si>
  <si>
    <t>Current @Rated Voltage</t>
  </si>
  <si>
    <t>Horn Strobes</t>
  </si>
  <si>
    <t>Strobe Only</t>
  </si>
  <si>
    <t>Model #</t>
  </si>
  <si>
    <t>Candela</t>
  </si>
  <si>
    <t>18-10 Awg = Solid Conductors</t>
  </si>
  <si>
    <r>
      <t>Wire Resistance in Ohms per 1000 feet @ 75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C.</t>
    </r>
  </si>
  <si>
    <t>NEC - Chapter 9, Table 8</t>
  </si>
  <si>
    <t>Sample Fire Alarm Project</t>
  </si>
  <si>
    <t>18=7.77</t>
  </si>
  <si>
    <t>16=4.89</t>
  </si>
  <si>
    <t>14=3.07</t>
  </si>
  <si>
    <t>12=1.93</t>
  </si>
  <si>
    <t>10=1.21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</si>
</sst>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</font>
    <font>
      <sz val="10"/>
      <color indexed="8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2" fontId="2" fillId="0" borderId="7" xfId="0" applyNumberFormat="1" applyFont="1" applyBorder="1"/>
    <xf numFmtId="164" fontId="0" fillId="0" borderId="7" xfId="0" applyNumberForma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3" xfId="0" applyBorder="1"/>
    <xf numFmtId="0" fontId="0" fillId="0" borderId="7" xfId="0" applyBorder="1" applyAlignment="1">
      <alignment horizontal="right"/>
    </xf>
    <xf numFmtId="2" fontId="2" fillId="0" borderId="7" xfId="0" applyNumberFormat="1" applyFont="1" applyBorder="1" applyAlignment="1">
      <alignment horizontal="center"/>
    </xf>
    <xf numFmtId="164" fontId="0" fillId="0" borderId="7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0" fontId="0" fillId="0" borderId="7" xfId="1" applyNumberFormat="1" applyFont="1" applyBorder="1"/>
    <xf numFmtId="10" fontId="0" fillId="0" borderId="7" xfId="1" applyNumberFormat="1" applyFont="1" applyBorder="1" applyProtection="1"/>
    <xf numFmtId="0" fontId="0" fillId="0" borderId="1" xfId="0" applyBorder="1"/>
    <xf numFmtId="0" fontId="0" fillId="0" borderId="0" xfId="0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2" fontId="0" fillId="0" borderId="7" xfId="0" applyNumberFormat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5" xfId="0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0" borderId="14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0" fillId="5" borderId="0" xfId="0" applyFill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0" xfId="0" applyFill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8" xfId="0" applyFill="1" applyBorder="1" applyAlignment="1">
      <alignment horizontal="right"/>
    </xf>
    <xf numFmtId="0" fontId="0" fillId="5" borderId="0" xfId="0" applyFill="1" applyAlignment="1">
      <alignment horizontal="right"/>
    </xf>
    <xf numFmtId="0" fontId="0" fillId="5" borderId="9" xfId="0" applyFill="1" applyBorder="1" applyAlignment="1">
      <alignment horizontal="right"/>
    </xf>
    <xf numFmtId="0" fontId="0" fillId="5" borderId="8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5" borderId="9" xfId="0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4" fillId="5" borderId="0" xfId="0" applyFont="1" applyFill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2" fillId="0" borderId="7" xfId="0" applyFon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4">
    <cellStyle name="Followed Hyperlink" xfId="3" builtinId="9" hidden="1"/>
    <cellStyle name="Hyperlink" xfId="2" builtinId="8" hidden="1"/>
    <cellStyle name="Normal" xfId="0" builtinId="0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workbookViewId="0">
      <selection activeCell="C22" sqref="C22"/>
    </sheetView>
  </sheetViews>
  <sheetFormatPr defaultColWidth="10.58203125" defaultRowHeight="15.5" x14ac:dyDescent="0.35"/>
  <sheetData>
    <row r="1" spans="1:15" x14ac:dyDescent="0.35">
      <c r="A1" s="74" t="s">
        <v>0</v>
      </c>
      <c r="B1" s="75"/>
      <c r="C1" s="75"/>
      <c r="D1" s="75"/>
      <c r="E1" s="75"/>
      <c r="F1" s="76"/>
      <c r="G1" s="44"/>
      <c r="H1" s="45"/>
      <c r="I1" s="46"/>
      <c r="J1" s="77" t="s">
        <v>1</v>
      </c>
      <c r="K1" s="78"/>
      <c r="L1" s="78"/>
      <c r="M1" s="79" t="s">
        <v>2</v>
      </c>
      <c r="N1" s="79"/>
      <c r="O1" s="79"/>
    </row>
    <row r="2" spans="1:15" x14ac:dyDescent="0.35">
      <c r="A2" s="1" t="s">
        <v>3</v>
      </c>
      <c r="B2" s="1"/>
      <c r="C2" s="80" t="s">
        <v>55</v>
      </c>
      <c r="D2" s="81"/>
      <c r="E2" s="81"/>
      <c r="F2" s="81"/>
      <c r="G2" s="47" t="s">
        <v>4</v>
      </c>
      <c r="H2" s="48"/>
      <c r="I2" s="49"/>
      <c r="J2" s="76" t="str">
        <f>IF((L7+0.001)&gt;D7,"CIRCUIT IS WITHIN LIMITS ","")</f>
        <v xml:space="preserve">CIRCUIT IS WITHIN LIMITS </v>
      </c>
      <c r="K2" s="82"/>
      <c r="L2" s="82"/>
      <c r="M2" s="82" t="str">
        <f>IF((O7+0.001)&gt;D7,"CIRCUIT IS WITHIN LIMITS ","")</f>
        <v xml:space="preserve">CIRCUIT IS WITHIN LIMITS </v>
      </c>
      <c r="N2" s="82"/>
      <c r="O2" s="82"/>
    </row>
    <row r="3" spans="1:15" x14ac:dyDescent="0.35">
      <c r="A3" s="70" t="s">
        <v>5</v>
      </c>
      <c r="B3" s="71"/>
      <c r="C3" s="83"/>
      <c r="D3" s="84"/>
      <c r="E3" s="72"/>
      <c r="F3" s="73"/>
      <c r="G3" s="47" t="s">
        <v>6</v>
      </c>
      <c r="H3" s="48"/>
      <c r="I3" s="49"/>
      <c r="J3" s="85" t="str">
        <f>IF((L7+0.001)&gt;D7," ","EXCEEDS DEVICE LIMITS")</f>
        <v xml:space="preserve"> </v>
      </c>
      <c r="K3" s="86"/>
      <c r="L3" s="86"/>
      <c r="M3" s="86" t="str">
        <f>IF((O7+0.001)&gt;D7," ","EXCEEDS DEVICE LIMITS")</f>
        <v xml:space="preserve"> </v>
      </c>
      <c r="N3" s="86"/>
      <c r="O3" s="86"/>
    </row>
    <row r="4" spans="1:15" x14ac:dyDescent="0.35">
      <c r="A4" s="1" t="s">
        <v>7</v>
      </c>
      <c r="B4" s="1"/>
      <c r="C4" s="80"/>
      <c r="D4" s="81"/>
      <c r="E4" s="81"/>
      <c r="F4" s="81"/>
      <c r="G4" s="47" t="s">
        <v>8</v>
      </c>
      <c r="H4" s="48"/>
      <c r="I4" s="49"/>
      <c r="J4" s="87" t="s">
        <v>9</v>
      </c>
      <c r="K4" s="88"/>
      <c r="L4" s="4" t="s">
        <v>10</v>
      </c>
      <c r="M4" s="88" t="s">
        <v>9</v>
      </c>
      <c r="N4" s="88"/>
      <c r="O4" s="4" t="s">
        <v>10</v>
      </c>
    </row>
    <row r="5" spans="1:15" x14ac:dyDescent="0.35">
      <c r="A5" s="1" t="s">
        <v>11</v>
      </c>
      <c r="B5" s="1"/>
      <c r="C5" s="80"/>
      <c r="D5" s="81"/>
      <c r="E5" s="81"/>
      <c r="F5" s="81"/>
      <c r="G5" s="47" t="s">
        <v>12</v>
      </c>
      <c r="H5" s="48"/>
      <c r="I5" s="49"/>
      <c r="J5" s="6" t="s">
        <v>13</v>
      </c>
      <c r="K5" s="4" t="s">
        <v>14</v>
      </c>
      <c r="L5" s="4" t="s">
        <v>15</v>
      </c>
      <c r="M5" s="4" t="s">
        <v>13</v>
      </c>
      <c r="N5" s="4" t="s">
        <v>14</v>
      </c>
      <c r="O5" s="4" t="s">
        <v>15</v>
      </c>
    </row>
    <row r="6" spans="1:15" x14ac:dyDescent="0.35">
      <c r="A6" s="1" t="s">
        <v>16</v>
      </c>
      <c r="B6" s="1"/>
      <c r="C6" s="1"/>
      <c r="D6" s="1">
        <v>20.399999999999999</v>
      </c>
      <c r="E6" s="4"/>
      <c r="F6" s="5"/>
      <c r="G6" s="47"/>
      <c r="H6" s="48"/>
      <c r="I6" s="49"/>
      <c r="J6" s="7">
        <f>$C$8</f>
        <v>1.5820000000000001</v>
      </c>
      <c r="K6" s="4">
        <f>$C$40</f>
        <v>415</v>
      </c>
      <c r="L6" s="8">
        <f>D6-L7</f>
        <v>2.2394421999999992</v>
      </c>
      <c r="M6" s="9">
        <f>$C$8</f>
        <v>1.5820000000000001</v>
      </c>
      <c r="N6" s="4">
        <f>$C$40</f>
        <v>415</v>
      </c>
      <c r="O6" s="10">
        <f>M6*(N6/1000)*(F10*2)</f>
        <v>4.0310941999999992</v>
      </c>
    </row>
    <row r="7" spans="1:15" x14ac:dyDescent="0.35">
      <c r="A7" s="11" t="s">
        <v>17</v>
      </c>
      <c r="B7" s="1"/>
      <c r="C7" s="1"/>
      <c r="D7" s="1">
        <v>16</v>
      </c>
      <c r="E7" s="4"/>
      <c r="F7" s="5"/>
      <c r="G7" s="47"/>
      <c r="H7" s="48"/>
      <c r="I7" s="49"/>
      <c r="J7" s="12"/>
      <c r="K7" s="13" t="s">
        <v>18</v>
      </c>
      <c r="L7" s="8">
        <f>$F$40</f>
        <v>18.160557799999999</v>
      </c>
      <c r="M7" s="1"/>
      <c r="N7" s="13" t="s">
        <v>18</v>
      </c>
      <c r="O7" s="14">
        <f>D6-O6</f>
        <v>16.3689058</v>
      </c>
    </row>
    <row r="8" spans="1:15" x14ac:dyDescent="0.35">
      <c r="A8" s="1" t="s">
        <v>19</v>
      </c>
      <c r="B8" s="1"/>
      <c r="C8" s="15">
        <f>SUM($B$16:$B$39)</f>
        <v>1.5820000000000001</v>
      </c>
      <c r="D8" s="5"/>
      <c r="E8" s="65" t="s">
        <v>20</v>
      </c>
      <c r="F8" s="65" t="s">
        <v>21</v>
      </c>
      <c r="G8" s="50"/>
      <c r="H8" s="51"/>
      <c r="I8" s="52"/>
      <c r="J8" s="12"/>
      <c r="K8" s="13" t="s">
        <v>22</v>
      </c>
      <c r="L8" s="19">
        <f>L6/D6</f>
        <v>0.10977657843137252</v>
      </c>
      <c r="M8" s="1"/>
      <c r="N8" s="13" t="s">
        <v>22</v>
      </c>
      <c r="O8" s="20">
        <f>O6/D6</f>
        <v>0.19760265686274509</v>
      </c>
    </row>
    <row r="9" spans="1:15" x14ac:dyDescent="0.35">
      <c r="A9" s="67"/>
      <c r="B9" s="68"/>
      <c r="C9" s="69"/>
      <c r="D9" s="22"/>
      <c r="E9" s="66" t="s">
        <v>23</v>
      </c>
      <c r="F9" s="66" t="s">
        <v>24</v>
      </c>
      <c r="G9" s="89" t="s">
        <v>25</v>
      </c>
      <c r="H9" s="90"/>
      <c r="I9" s="90"/>
      <c r="J9" s="90"/>
      <c r="K9" s="90"/>
      <c r="L9" s="90"/>
      <c r="M9" s="91"/>
      <c r="N9" s="91"/>
      <c r="O9" s="92"/>
    </row>
    <row r="10" spans="1:15" x14ac:dyDescent="0.35">
      <c r="A10" s="1" t="s">
        <v>26</v>
      </c>
      <c r="B10" s="1"/>
      <c r="C10" s="1"/>
      <c r="D10" s="23">
        <v>20</v>
      </c>
      <c r="E10" s="23">
        <v>14</v>
      </c>
      <c r="F10" s="24" t="str">
        <f>IF(E10=12,"1.93",IF(E10=14,"3.07",IF(E10=18,"7.77",IF(E10=16,"4.89",IF(E10=10,"1.21")))))</f>
        <v>3.07</v>
      </c>
      <c r="G10" s="89" t="s">
        <v>53</v>
      </c>
      <c r="H10" s="90"/>
      <c r="I10" s="90"/>
      <c r="J10" s="90"/>
      <c r="K10" s="90"/>
      <c r="L10" s="90"/>
      <c r="M10" s="90"/>
      <c r="N10" s="90"/>
      <c r="O10" s="93"/>
    </row>
    <row r="11" spans="1:15" x14ac:dyDescent="0.35">
      <c r="A11" s="1" t="s">
        <v>27</v>
      </c>
      <c r="B11" s="1"/>
      <c r="C11" s="1"/>
      <c r="D11" s="4"/>
      <c r="E11" s="23">
        <v>14</v>
      </c>
      <c r="F11" s="24" t="str">
        <f>IF(E11=12,"1.93",IF(E11=14,"3.07",IF(E11=18,"7.77",IF(E11=16,"4.89",IF(E11=10,"1.21")))))</f>
        <v>3.07</v>
      </c>
      <c r="G11" s="55"/>
      <c r="H11" s="48"/>
      <c r="I11" s="56" t="s">
        <v>56</v>
      </c>
      <c r="J11" s="56" t="s">
        <v>57</v>
      </c>
      <c r="K11" s="56" t="s">
        <v>58</v>
      </c>
      <c r="L11" s="56" t="s">
        <v>59</v>
      </c>
      <c r="M11" s="56" t="s">
        <v>60</v>
      </c>
      <c r="N11" s="56"/>
      <c r="O11" s="57"/>
    </row>
    <row r="12" spans="1:15" x14ac:dyDescent="0.35">
      <c r="A12" s="94" t="s">
        <v>28</v>
      </c>
      <c r="B12" s="95"/>
      <c r="C12" s="25" t="s">
        <v>29</v>
      </c>
      <c r="D12" s="22"/>
      <c r="E12" s="22"/>
      <c r="F12" s="26"/>
      <c r="G12" s="50"/>
      <c r="H12" s="51" t="s">
        <v>52</v>
      </c>
      <c r="I12" s="51"/>
      <c r="J12" s="51"/>
      <c r="K12" s="51" t="s">
        <v>54</v>
      </c>
      <c r="L12" s="51"/>
      <c r="M12" s="51"/>
      <c r="N12" s="51"/>
      <c r="O12" s="52"/>
    </row>
    <row r="13" spans="1:15" x14ac:dyDescent="0.35">
      <c r="A13" s="96" t="s">
        <v>30</v>
      </c>
      <c r="B13" s="97"/>
      <c r="C13" s="27" t="s">
        <v>31</v>
      </c>
      <c r="D13" s="94" t="s">
        <v>10</v>
      </c>
      <c r="E13" s="98"/>
      <c r="F13" s="98"/>
      <c r="G13" s="44" t="s">
        <v>32</v>
      </c>
      <c r="H13" s="45"/>
      <c r="I13" s="45"/>
      <c r="J13" s="45"/>
      <c r="K13" s="45"/>
      <c r="L13" s="45"/>
      <c r="M13" s="45"/>
      <c r="N13" s="45"/>
      <c r="O13" s="46"/>
    </row>
    <row r="14" spans="1:15" x14ac:dyDescent="0.35">
      <c r="A14" s="28" t="s">
        <v>33</v>
      </c>
      <c r="B14" s="27" t="s">
        <v>33</v>
      </c>
      <c r="C14" s="29" t="s">
        <v>34</v>
      </c>
      <c r="D14" s="28" t="s">
        <v>35</v>
      </c>
      <c r="E14" s="22" t="s">
        <v>36</v>
      </c>
      <c r="F14" s="22" t="s">
        <v>37</v>
      </c>
      <c r="G14" s="58"/>
      <c r="H14" s="59"/>
      <c r="I14" s="59"/>
      <c r="J14" s="59"/>
      <c r="K14" s="59"/>
      <c r="L14" s="59"/>
      <c r="M14" s="59"/>
      <c r="N14" s="59"/>
      <c r="O14" s="60"/>
    </row>
    <row r="15" spans="1:15" x14ac:dyDescent="0.35">
      <c r="A15" s="30" t="s">
        <v>38</v>
      </c>
      <c r="B15" s="31" t="s">
        <v>13</v>
      </c>
      <c r="C15" s="32" t="s">
        <v>39</v>
      </c>
      <c r="D15" s="30" t="s">
        <v>33</v>
      </c>
      <c r="E15" s="33" t="s">
        <v>40</v>
      </c>
      <c r="F15" s="33" t="s">
        <v>15</v>
      </c>
      <c r="G15" s="61"/>
      <c r="H15" s="62"/>
      <c r="I15" s="62"/>
      <c r="J15" s="62"/>
      <c r="K15" s="62"/>
      <c r="L15" s="62"/>
      <c r="M15" s="62"/>
      <c r="N15" s="62"/>
      <c r="O15" s="63"/>
    </row>
    <row r="16" spans="1:15" x14ac:dyDescent="0.35">
      <c r="A16" s="1" t="s">
        <v>41</v>
      </c>
      <c r="B16" s="34">
        <v>0.125</v>
      </c>
      <c r="C16" s="13">
        <f>$D$10</f>
        <v>20</v>
      </c>
      <c r="D16" s="35">
        <f>$D$6-(F10/1000*SUM(B16:$B$35)*(C16*2))</f>
        <v>20.2057304</v>
      </c>
      <c r="E16" s="9">
        <f t="shared" ref="E16:E39" si="0">$D$6-D16</f>
        <v>0.19426959999999838</v>
      </c>
      <c r="F16" s="36">
        <f t="shared" ref="F16:F39" si="1">E16/$D$6</f>
        <v>9.5230196078430578E-3</v>
      </c>
      <c r="G16" s="44" t="s">
        <v>42</v>
      </c>
      <c r="H16" s="54"/>
      <c r="I16" s="54"/>
      <c r="J16" s="54"/>
      <c r="K16" s="54"/>
      <c r="L16" s="54"/>
      <c r="M16" s="45"/>
      <c r="N16" s="45"/>
      <c r="O16" s="46"/>
    </row>
    <row r="17" spans="1:15" x14ac:dyDescent="0.35">
      <c r="A17" s="1" t="str">
        <f>IF(B17&gt;0,"Device 2","END ")</f>
        <v>Device 2</v>
      </c>
      <c r="B17" s="34">
        <v>0.125</v>
      </c>
      <c r="C17" s="37">
        <v>20</v>
      </c>
      <c r="D17" s="35">
        <f>$D16-(($F$11/1000*SUM($B17:$B$35)*(C17*2)))</f>
        <v>20.0268108</v>
      </c>
      <c r="E17" s="9">
        <f t="shared" si="0"/>
        <v>0.37318919999999878</v>
      </c>
      <c r="F17" s="36">
        <f t="shared" si="1"/>
        <v>1.8293588235294058E-2</v>
      </c>
      <c r="G17" s="47" t="s">
        <v>43</v>
      </c>
      <c r="H17" s="64"/>
      <c r="I17" s="64"/>
      <c r="J17" s="53"/>
      <c r="K17" s="53"/>
      <c r="L17" s="53"/>
      <c r="M17" s="48"/>
      <c r="N17" s="48"/>
      <c r="O17" s="49"/>
    </row>
    <row r="18" spans="1:15" x14ac:dyDescent="0.35">
      <c r="A18" s="1" t="str">
        <f>IF(B18&gt;0,"Device 3","END ")</f>
        <v>Device 3</v>
      </c>
      <c r="B18" s="34">
        <v>0.16600000000000001</v>
      </c>
      <c r="C18" s="37">
        <v>50</v>
      </c>
      <c r="D18" s="35">
        <f>$D17-(($F$11/1000*SUM($B18:$B$35)*(C18*2)))</f>
        <v>19.617886800000001</v>
      </c>
      <c r="E18" s="9">
        <f t="shared" si="0"/>
        <v>0.78211319999999773</v>
      </c>
      <c r="F18" s="36">
        <f t="shared" si="1"/>
        <v>3.833888235294107E-2</v>
      </c>
      <c r="G18" s="47" t="s">
        <v>44</v>
      </c>
      <c r="H18" s="48"/>
      <c r="I18" s="48"/>
      <c r="J18" s="48"/>
      <c r="K18" s="48"/>
      <c r="L18" s="48"/>
      <c r="M18" s="48"/>
      <c r="N18" s="48"/>
      <c r="O18" s="49"/>
    </row>
    <row r="19" spans="1:15" x14ac:dyDescent="0.35">
      <c r="A19" s="1" t="str">
        <f>IF(B19&gt;0,"Device 4","END ")</f>
        <v>Device 4</v>
      </c>
      <c r="B19" s="34">
        <v>0.25</v>
      </c>
      <c r="C19" s="37">
        <v>50</v>
      </c>
      <c r="D19" s="35">
        <f>$D18-(($F$11/1000*SUM($B19:$B$35)*(C19*2)))</f>
        <v>19.2599248</v>
      </c>
      <c r="E19" s="9">
        <f t="shared" si="0"/>
        <v>1.1400751999999983</v>
      </c>
      <c r="F19" s="36">
        <f t="shared" si="1"/>
        <v>5.5886039215686197E-2</v>
      </c>
      <c r="G19" s="47" t="s">
        <v>45</v>
      </c>
      <c r="H19" s="48"/>
      <c r="I19" s="48"/>
      <c r="J19" s="48"/>
      <c r="K19" s="48"/>
      <c r="L19" s="48"/>
      <c r="M19" s="48"/>
      <c r="N19" s="48"/>
      <c r="O19" s="49"/>
    </row>
    <row r="20" spans="1:15" x14ac:dyDescent="0.35">
      <c r="A20" s="1" t="str">
        <f>IF(B20&gt;0,"Device 5","END ")</f>
        <v>Device 5</v>
      </c>
      <c r="B20" s="34">
        <v>0.125</v>
      </c>
      <c r="C20" s="37">
        <v>75</v>
      </c>
      <c r="D20" s="35">
        <f>$D19-(($F$11/1000*SUM($B20:$B$35)*(C20*2)))</f>
        <v>18.838106800000002</v>
      </c>
      <c r="E20" s="9">
        <f t="shared" si="0"/>
        <v>1.5618931999999965</v>
      </c>
      <c r="F20" s="36">
        <f t="shared" si="1"/>
        <v>7.6563392156862586E-2</v>
      </c>
      <c r="G20" s="47"/>
      <c r="H20" s="48"/>
      <c r="I20" s="48"/>
      <c r="J20" s="48"/>
      <c r="K20" s="48"/>
      <c r="L20" s="48"/>
      <c r="M20" s="48"/>
      <c r="N20" s="48"/>
      <c r="O20" s="49"/>
    </row>
    <row r="21" spans="1:15" x14ac:dyDescent="0.35">
      <c r="A21" s="1" t="str">
        <f>IF(B21&gt;0,"Device 6","END ")</f>
        <v>Device 6</v>
      </c>
      <c r="B21" s="34">
        <v>0.125</v>
      </c>
      <c r="C21" s="37">
        <v>50</v>
      </c>
      <c r="D21" s="35">
        <f>$D20-(($F$11/1000*SUM($B21:$B$35)*(C21*2)))</f>
        <v>18.595269800000001</v>
      </c>
      <c r="E21" s="9">
        <f t="shared" si="0"/>
        <v>1.8047301999999981</v>
      </c>
      <c r="F21" s="36">
        <f t="shared" si="1"/>
        <v>8.8467166666666583E-2</v>
      </c>
      <c r="G21" s="2" t="s">
        <v>46</v>
      </c>
      <c r="I21" s="38"/>
      <c r="J21" s="39"/>
      <c r="K21" s="48"/>
      <c r="L21" t="s">
        <v>46</v>
      </c>
      <c r="N21" s="38"/>
      <c r="O21" s="39"/>
    </row>
    <row r="22" spans="1:15" ht="46.5" x14ac:dyDescent="0.35">
      <c r="A22" s="1" t="str">
        <f>IF(B22&gt;0,"Device 7","END ")</f>
        <v>Device 7</v>
      </c>
      <c r="B22" s="34">
        <v>0.16600000000000001</v>
      </c>
      <c r="C22" s="37">
        <v>50</v>
      </c>
      <c r="D22" s="35">
        <f>$D21-(($F$11/1000*SUM($B22:$B$35)*(C22*2)))</f>
        <v>18.390807800000001</v>
      </c>
      <c r="E22" s="9">
        <f t="shared" si="0"/>
        <v>2.0091921999999975</v>
      </c>
      <c r="F22" s="36">
        <f t="shared" si="1"/>
        <v>9.848981372549008E-2</v>
      </c>
      <c r="G22" s="47"/>
      <c r="H22" s="48"/>
      <c r="I22" s="48"/>
      <c r="J22" s="40" t="s">
        <v>47</v>
      </c>
      <c r="K22" s="48"/>
      <c r="L22" s="48"/>
      <c r="M22" s="48"/>
      <c r="N22" s="48"/>
      <c r="O22" s="40" t="s">
        <v>47</v>
      </c>
    </row>
    <row r="23" spans="1:15" x14ac:dyDescent="0.35">
      <c r="A23" s="1" t="str">
        <f>IF(B23&gt;0,"Device 8","END ")</f>
        <v>Device 8</v>
      </c>
      <c r="B23" s="34">
        <v>0.25</v>
      </c>
      <c r="C23" s="37">
        <v>50</v>
      </c>
      <c r="D23" s="35">
        <f>$D22-(($F$11/1000*SUM($B23:$B$35)*(C23*2)))</f>
        <v>18.2373078</v>
      </c>
      <c r="E23" s="9">
        <f t="shared" si="0"/>
        <v>2.1626921999999986</v>
      </c>
      <c r="F23" s="36">
        <f t="shared" si="1"/>
        <v>0.1060143235294117</v>
      </c>
      <c r="G23" s="38" t="s">
        <v>48</v>
      </c>
      <c r="H23" s="41"/>
      <c r="I23" s="39"/>
      <c r="J23" s="25"/>
      <c r="K23" s="48"/>
      <c r="L23" s="38" t="s">
        <v>49</v>
      </c>
      <c r="M23" s="41"/>
      <c r="N23" s="39"/>
      <c r="O23" s="25"/>
    </row>
    <row r="24" spans="1:15" x14ac:dyDescent="0.35">
      <c r="A24" s="1" t="str">
        <f>IF(B24&gt;0,"Device 9","END ")</f>
        <v>Device 9</v>
      </c>
      <c r="B24" s="34">
        <v>0.25</v>
      </c>
      <c r="C24" s="37">
        <v>50</v>
      </c>
      <c r="D24" s="35">
        <f>$D23-(($F$11/1000*SUM($B24:$B$35)*(C24*2)))</f>
        <v>18.160557799999999</v>
      </c>
      <c r="E24" s="9">
        <f t="shared" si="0"/>
        <v>2.2394421999999992</v>
      </c>
      <c r="F24" s="36">
        <f t="shared" si="1"/>
        <v>0.10977657843137252</v>
      </c>
      <c r="G24" s="4" t="s">
        <v>50</v>
      </c>
      <c r="H24" s="4"/>
      <c r="I24" s="21" t="s">
        <v>51</v>
      </c>
      <c r="J24" s="42"/>
      <c r="K24" s="48"/>
      <c r="L24" s="5" t="s">
        <v>50</v>
      </c>
      <c r="M24" s="6"/>
      <c r="N24" s="21" t="s">
        <v>51</v>
      </c>
      <c r="O24" s="43"/>
    </row>
    <row r="25" spans="1:15" x14ac:dyDescent="0.35">
      <c r="A25" s="1" t="str">
        <f>IF(B25&gt;0,"Device 10","END ")</f>
        <v xml:space="preserve">END </v>
      </c>
      <c r="B25" s="34"/>
      <c r="C25" s="37"/>
      <c r="D25" s="35">
        <f>$D24-(($F$11/1000*SUM($B25:$B$35)*(C25*2)))</f>
        <v>18.160557799999999</v>
      </c>
      <c r="E25" s="9">
        <f t="shared" si="0"/>
        <v>2.2394421999999992</v>
      </c>
      <c r="F25" s="36">
        <f t="shared" si="1"/>
        <v>0.10977657843137252</v>
      </c>
      <c r="G25" s="38"/>
      <c r="H25" s="39"/>
      <c r="I25" s="37"/>
      <c r="J25" s="34"/>
      <c r="K25" s="48"/>
      <c r="L25" s="38"/>
      <c r="M25" s="39"/>
      <c r="N25" s="37"/>
      <c r="O25" s="34"/>
    </row>
    <row r="26" spans="1:15" x14ac:dyDescent="0.35">
      <c r="A26" s="1" t="str">
        <f>IF(B26&gt;0,"Device 11","END ")</f>
        <v xml:space="preserve">END </v>
      </c>
      <c r="B26" s="34"/>
      <c r="C26" s="37"/>
      <c r="D26" s="35">
        <f>$D25-(($F$11/1000*SUM($B26:$B$35)*(C26*2)))</f>
        <v>18.160557799999999</v>
      </c>
      <c r="E26" s="9">
        <f t="shared" si="0"/>
        <v>2.2394421999999992</v>
      </c>
      <c r="F26" s="36">
        <f t="shared" si="1"/>
        <v>0.10977657843137252</v>
      </c>
      <c r="G26" s="38"/>
      <c r="H26" s="39"/>
      <c r="I26" s="37"/>
      <c r="J26" s="37"/>
      <c r="K26" s="48"/>
      <c r="L26" s="38"/>
      <c r="M26" s="39"/>
      <c r="N26" s="37"/>
      <c r="O26" s="37"/>
    </row>
    <row r="27" spans="1:15" x14ac:dyDescent="0.35">
      <c r="A27" s="1" t="str">
        <f>IF(B27&gt;0,"Device 12","END ")</f>
        <v xml:space="preserve">END </v>
      </c>
      <c r="B27" s="34"/>
      <c r="C27" s="37"/>
      <c r="D27" s="35">
        <f>$D26-(($F$11/1000*SUM($B27:$B$35)*(C27*2)))</f>
        <v>18.160557799999999</v>
      </c>
      <c r="E27" s="9">
        <f t="shared" si="0"/>
        <v>2.2394421999999992</v>
      </c>
      <c r="F27" s="36">
        <f t="shared" si="1"/>
        <v>0.10977657843137252</v>
      </c>
      <c r="G27" s="38"/>
      <c r="H27" s="39"/>
      <c r="I27" s="37"/>
      <c r="J27" s="37"/>
      <c r="K27" s="59"/>
      <c r="L27" s="38"/>
      <c r="M27" s="39"/>
      <c r="N27" s="37"/>
      <c r="O27" s="37"/>
    </row>
    <row r="28" spans="1:15" x14ac:dyDescent="0.35">
      <c r="A28" s="1" t="str">
        <f>IF(B28&gt;0,"Device 13","END ")</f>
        <v xml:space="preserve">END </v>
      </c>
      <c r="B28" s="34"/>
      <c r="C28" s="37"/>
      <c r="D28" s="35">
        <f>$D27-(($F$11/1000*SUM($B28:$B$35)*(C28*2)))</f>
        <v>18.160557799999999</v>
      </c>
      <c r="E28" s="9">
        <f t="shared" si="0"/>
        <v>2.2394421999999992</v>
      </c>
      <c r="F28" s="36">
        <f t="shared" si="1"/>
        <v>0.10977657843137252</v>
      </c>
      <c r="G28" s="38"/>
      <c r="H28" s="39"/>
      <c r="I28" s="37"/>
      <c r="J28" s="37"/>
      <c r="K28" s="59"/>
      <c r="L28" s="38"/>
      <c r="M28" s="39"/>
      <c r="N28" s="37"/>
      <c r="O28" s="37"/>
    </row>
    <row r="29" spans="1:15" x14ac:dyDescent="0.35">
      <c r="A29" s="1" t="str">
        <f>IF(B29&gt;0,"Device 14","END ")</f>
        <v xml:space="preserve">END </v>
      </c>
      <c r="B29" s="34"/>
      <c r="C29" s="37"/>
      <c r="D29" s="35">
        <f>$D28-(($F$11/1000*SUM($B29:$B$35)*(C29*2)))</f>
        <v>18.160557799999999</v>
      </c>
      <c r="E29" s="9">
        <f t="shared" si="0"/>
        <v>2.2394421999999992</v>
      </c>
      <c r="F29" s="36">
        <f t="shared" si="1"/>
        <v>0.10977657843137252</v>
      </c>
      <c r="G29" s="38"/>
      <c r="H29" s="39"/>
      <c r="I29" s="37"/>
      <c r="J29" s="34"/>
      <c r="K29" s="59"/>
      <c r="L29" s="38"/>
      <c r="M29" s="39"/>
      <c r="N29" s="37"/>
      <c r="O29" s="34"/>
    </row>
    <row r="30" spans="1:15" x14ac:dyDescent="0.35">
      <c r="A30" s="1" t="str">
        <f>IF(B30&gt;0,"Device 15","END ")</f>
        <v xml:space="preserve">END </v>
      </c>
      <c r="B30" s="34"/>
      <c r="C30" s="37"/>
      <c r="D30" s="35">
        <f>$D29-(($F$11/1000*SUM($B30:$B$35)*(C30*2)))</f>
        <v>18.160557799999999</v>
      </c>
      <c r="E30" s="9">
        <f t="shared" si="0"/>
        <v>2.2394421999999992</v>
      </c>
      <c r="F30" s="36">
        <f t="shared" si="1"/>
        <v>0.10977657843137252</v>
      </c>
      <c r="G30" s="38"/>
      <c r="H30" s="39"/>
      <c r="I30" s="37"/>
      <c r="J30" s="34"/>
      <c r="K30" s="59"/>
      <c r="L30" s="38"/>
      <c r="M30" s="39"/>
      <c r="N30" s="37"/>
      <c r="O30" s="34"/>
    </row>
    <row r="31" spans="1:15" x14ac:dyDescent="0.35">
      <c r="A31" s="1" t="str">
        <f>IF(B31&gt;0,"Device 16","END ")</f>
        <v xml:space="preserve">END </v>
      </c>
      <c r="B31" s="34"/>
      <c r="C31" s="37"/>
      <c r="D31" s="35">
        <f>$D30-(($F$11/1000*SUM($B31:$B$35)*(C31*2)))</f>
        <v>18.160557799999999</v>
      </c>
      <c r="E31" s="9">
        <f t="shared" si="0"/>
        <v>2.2394421999999992</v>
      </c>
      <c r="F31" s="36">
        <f t="shared" si="1"/>
        <v>0.10977657843137252</v>
      </c>
      <c r="G31" s="38"/>
      <c r="H31" s="39"/>
      <c r="I31" s="37"/>
      <c r="J31" s="34"/>
      <c r="K31" s="59"/>
      <c r="L31" s="38"/>
      <c r="M31" s="39"/>
      <c r="N31" s="37"/>
      <c r="O31" s="34"/>
    </row>
    <row r="32" spans="1:15" x14ac:dyDescent="0.35">
      <c r="A32" s="1" t="str">
        <f>IF(B32&gt;0,"Device 17","END ")</f>
        <v xml:space="preserve">END </v>
      </c>
      <c r="B32" s="34"/>
      <c r="C32" s="37"/>
      <c r="D32" s="35">
        <f>$D31-(($F$11/1000*SUM($B32:$B$35)*(C32*2)))</f>
        <v>18.160557799999999</v>
      </c>
      <c r="E32" s="9">
        <f t="shared" si="0"/>
        <v>2.2394421999999992</v>
      </c>
      <c r="F32" s="36">
        <f t="shared" si="1"/>
        <v>0.10977657843137252</v>
      </c>
      <c r="G32" s="38"/>
      <c r="H32" s="39"/>
      <c r="I32" s="37"/>
      <c r="J32" s="34"/>
      <c r="K32" s="59"/>
      <c r="L32" s="38"/>
      <c r="M32" s="39"/>
      <c r="N32" s="37"/>
      <c r="O32" s="34"/>
    </row>
    <row r="33" spans="1:15" x14ac:dyDescent="0.35">
      <c r="A33" s="1" t="str">
        <f>IF(B33&gt;0,"Device 18","END ")</f>
        <v xml:space="preserve">END </v>
      </c>
      <c r="B33" s="34"/>
      <c r="C33" s="37"/>
      <c r="D33" s="35">
        <f>$D32-(($F$11/1000*SUM($B33:$B$35)*(C33*2)))</f>
        <v>18.160557799999999</v>
      </c>
      <c r="E33" s="9">
        <f t="shared" si="0"/>
        <v>2.2394421999999992</v>
      </c>
      <c r="F33" s="36">
        <f t="shared" si="1"/>
        <v>0.10977657843137252</v>
      </c>
      <c r="G33" s="38"/>
      <c r="H33" s="39"/>
      <c r="I33" s="37"/>
      <c r="J33" s="34"/>
      <c r="K33" s="59"/>
      <c r="L33" s="38"/>
      <c r="M33" s="39"/>
      <c r="N33" s="37"/>
      <c r="O33" s="34"/>
    </row>
    <row r="34" spans="1:15" x14ac:dyDescent="0.35">
      <c r="A34" s="1" t="str">
        <f>IF(B34&gt;0,"Device 19","END ")</f>
        <v xml:space="preserve">END </v>
      </c>
      <c r="B34" s="34"/>
      <c r="C34" s="37"/>
      <c r="D34" s="35">
        <f>$D33-(($F$11/1000*SUM($B34:$B$35)*(C34*2)))</f>
        <v>18.160557799999999</v>
      </c>
      <c r="E34" s="9">
        <f t="shared" si="0"/>
        <v>2.2394421999999992</v>
      </c>
      <c r="F34" s="36">
        <f t="shared" si="1"/>
        <v>0.10977657843137252</v>
      </c>
      <c r="G34" s="38"/>
      <c r="H34" s="39"/>
      <c r="I34" s="37"/>
      <c r="J34" s="34"/>
      <c r="K34" s="59"/>
      <c r="L34" s="38"/>
      <c r="M34" s="39"/>
      <c r="N34" s="37"/>
      <c r="O34" s="34"/>
    </row>
    <row r="35" spans="1:15" x14ac:dyDescent="0.35">
      <c r="A35" s="1" t="str">
        <f>IF(B35&gt;0,"Device 20","END ")</f>
        <v xml:space="preserve">END </v>
      </c>
      <c r="B35" s="34"/>
      <c r="C35" s="37"/>
      <c r="D35" s="35">
        <f>$D34-(($F$11/1000*SUM($B35:$B$35)*(C35*2)))</f>
        <v>18.160557799999999</v>
      </c>
      <c r="E35" s="9">
        <f t="shared" si="0"/>
        <v>2.2394421999999992</v>
      </c>
      <c r="F35" s="36">
        <f t="shared" si="1"/>
        <v>0.10977657843137252</v>
      </c>
      <c r="G35" s="38"/>
      <c r="H35" s="39"/>
      <c r="I35" s="37"/>
      <c r="J35" s="34"/>
      <c r="K35" s="62"/>
      <c r="L35" s="38"/>
      <c r="M35" s="39"/>
      <c r="N35" s="37"/>
      <c r="O35" s="34"/>
    </row>
    <row r="36" spans="1:15" x14ac:dyDescent="0.35">
      <c r="A36" s="1" t="str">
        <f>IF(B36&gt;0,"Device 21","END ")</f>
        <v xml:space="preserve">END </v>
      </c>
      <c r="B36" s="34"/>
      <c r="C36" s="37"/>
      <c r="D36" s="35">
        <f>$D35-(($F$11/1000*SUM($B$35:$B36)*(C36*2)))</f>
        <v>18.160557799999999</v>
      </c>
      <c r="E36" s="9">
        <f t="shared" si="0"/>
        <v>2.2394421999999992</v>
      </c>
      <c r="F36" s="36">
        <f t="shared" si="1"/>
        <v>0.10977657843137252</v>
      </c>
      <c r="G36" s="2"/>
      <c r="O36" s="3"/>
    </row>
    <row r="37" spans="1:15" x14ac:dyDescent="0.35">
      <c r="A37" s="1" t="str">
        <f>IF(B37&gt;0,"Device 22","END ")</f>
        <v xml:space="preserve">END </v>
      </c>
      <c r="B37" s="34"/>
      <c r="C37" s="37"/>
      <c r="D37" s="35">
        <f>$D36-(($F$11/1000*SUM($B$35:$B37)*(C37*2)))</f>
        <v>18.160557799999999</v>
      </c>
      <c r="E37" s="9">
        <f t="shared" si="0"/>
        <v>2.2394421999999992</v>
      </c>
      <c r="F37" s="36">
        <f t="shared" si="1"/>
        <v>0.10977657843137252</v>
      </c>
      <c r="G37" s="2"/>
      <c r="O37" s="3"/>
    </row>
    <row r="38" spans="1:15" x14ac:dyDescent="0.35">
      <c r="A38" s="1" t="str">
        <f>IF(B38&gt;0,"Device 23","END ")</f>
        <v xml:space="preserve">END </v>
      </c>
      <c r="B38" s="34"/>
      <c r="C38" s="37"/>
      <c r="D38" s="35">
        <f>$D37-(($F$11/1000*SUM($B$35:$B38)*(C38*2)))</f>
        <v>18.160557799999999</v>
      </c>
      <c r="E38" s="9">
        <f t="shared" si="0"/>
        <v>2.2394421999999992</v>
      </c>
      <c r="F38" s="36">
        <f t="shared" si="1"/>
        <v>0.10977657843137252</v>
      </c>
      <c r="G38" s="2"/>
      <c r="O38" s="3"/>
    </row>
    <row r="39" spans="1:15" x14ac:dyDescent="0.35">
      <c r="A39" s="1" t="str">
        <f>IF(B39&gt;0,"Device 24","END ")</f>
        <v xml:space="preserve">END </v>
      </c>
      <c r="B39" s="34"/>
      <c r="C39" s="37"/>
      <c r="D39" s="35">
        <f>$D36-(($F$11/1000*SUM($B$35:$B39)*(C39*2)))</f>
        <v>18.160557799999999</v>
      </c>
      <c r="E39" s="9">
        <f t="shared" si="0"/>
        <v>2.2394421999999992</v>
      </c>
      <c r="F39" s="36">
        <f t="shared" si="1"/>
        <v>0.10977657843137252</v>
      </c>
      <c r="G39" s="2"/>
      <c r="O39" s="3"/>
    </row>
    <row r="40" spans="1:15" x14ac:dyDescent="0.35">
      <c r="A40" s="1" t="s">
        <v>9</v>
      </c>
      <c r="B40" s="9"/>
      <c r="C40" s="4">
        <f>SUM(C17:C39)+D10</f>
        <v>415</v>
      </c>
      <c r="D40" s="1" t="s">
        <v>18</v>
      </c>
      <c r="E40" s="10"/>
      <c r="F40" s="14">
        <f>$D$39</f>
        <v>18.160557799999999</v>
      </c>
      <c r="G40" s="16"/>
      <c r="H40" s="17"/>
      <c r="I40" s="17"/>
      <c r="J40" s="17"/>
      <c r="K40" s="17"/>
      <c r="L40" s="17"/>
      <c r="M40" s="17"/>
      <c r="N40" s="17"/>
      <c r="O40" s="18"/>
    </row>
  </sheetData>
  <mergeCells count="20">
    <mergeCell ref="G10:O10"/>
    <mergeCell ref="A12:B12"/>
    <mergeCell ref="A13:B13"/>
    <mergeCell ref="D13:F13"/>
    <mergeCell ref="C4:F4"/>
    <mergeCell ref="J4:K4"/>
    <mergeCell ref="M4:N4"/>
    <mergeCell ref="C5:F5"/>
    <mergeCell ref="G9:O9"/>
    <mergeCell ref="A3:B3"/>
    <mergeCell ref="E3:F3"/>
    <mergeCell ref="A1:F1"/>
    <mergeCell ref="J1:L1"/>
    <mergeCell ref="M1:O1"/>
    <mergeCell ref="C2:F2"/>
    <mergeCell ref="J2:L2"/>
    <mergeCell ref="M2:O2"/>
    <mergeCell ref="C3:D3"/>
    <mergeCell ref="J3:L3"/>
    <mergeCell ref="M3:O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c3f047-55f9-4955-9239-98d43ce368da">
      <Terms xmlns="http://schemas.microsoft.com/office/infopath/2007/PartnerControls"/>
    </lcf76f155ced4ddcb4097134ff3c332f>
    <TaxCatchAll xmlns="7c2a84ce-a365-4714-969e-e76ef8e9506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FD7339C1C790439B3D858BCA01A386" ma:contentTypeVersion="19" ma:contentTypeDescription="Create a new document." ma:contentTypeScope="" ma:versionID="d51c6715a36dc11bde8c9cc9fd661ba6">
  <xsd:schema xmlns:xsd="http://www.w3.org/2001/XMLSchema" xmlns:xs="http://www.w3.org/2001/XMLSchema" xmlns:p="http://schemas.microsoft.com/office/2006/metadata/properties" xmlns:ns2="20c3f047-55f9-4955-9239-98d43ce368da" xmlns:ns3="7c2a84ce-a365-4714-969e-e76ef8e95064" targetNamespace="http://schemas.microsoft.com/office/2006/metadata/properties" ma:root="true" ma:fieldsID="4df452391c378d1a6a464a91c8a90688" ns2:_="" ns3:_="">
    <xsd:import namespace="20c3f047-55f9-4955-9239-98d43ce368da"/>
    <xsd:import namespace="7c2a84ce-a365-4714-969e-e76ef8e950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3f047-55f9-4955-9239-98d43ce368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bc7c838-7e8c-4f15-a4f7-c9ed144b7d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2a84ce-a365-4714-969e-e76ef8e9506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483e65-df6d-472b-8ba9-58b507badec9}" ma:internalName="TaxCatchAll" ma:showField="CatchAllData" ma:web="7c2a84ce-a365-4714-969e-e76ef8e950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8B2151-5F80-4170-817F-8DCBFC8BF9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805E8C-45E8-412D-A23F-BC8F92095350}">
  <ds:schemaRefs>
    <ds:schemaRef ds:uri="http://schemas.microsoft.com/office/2006/metadata/properties"/>
    <ds:schemaRef ds:uri="http://schemas.microsoft.com/office/infopath/2007/PartnerControls"/>
    <ds:schemaRef ds:uri="20c3f047-55f9-4955-9239-98d43ce368da"/>
    <ds:schemaRef ds:uri="7c2a84ce-a365-4714-969e-e76ef8e95064"/>
  </ds:schemaRefs>
</ds:datastoreItem>
</file>

<file path=customXml/itemProps3.xml><?xml version="1.0" encoding="utf-8"?>
<ds:datastoreItem xmlns:ds="http://schemas.openxmlformats.org/officeDocument/2006/customXml" ds:itemID="{28B61057-4D62-4F49-8A67-4EF7037114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Hammerberg &amp; Associates,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Hammerberg</dc:creator>
  <cp:lastModifiedBy>Tim Knisely</cp:lastModifiedBy>
  <dcterms:created xsi:type="dcterms:W3CDTF">2015-12-10T00:48:41Z</dcterms:created>
  <dcterms:modified xsi:type="dcterms:W3CDTF">2026-08-17T17:53:02Z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0x0101002EFD7339C1C790439B3D858BCA01A386</vt:lpwstr>
  </property>
</Properties>
</file>