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Offline Items\AFAA\"/>
    </mc:Choice>
  </mc:AlternateContent>
  <xr:revisionPtr revIDLastSave="0" documentId="13_ncr:1_{94B12B66-39C9-4E1C-921B-C553B8CCCFE4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C16" i="1"/>
  <c r="C40" i="1"/>
  <c r="K6" i="1" s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C8" i="1"/>
  <c r="M6" i="1" s="1"/>
  <c r="D16" i="1" l="1"/>
  <c r="E16" i="1" s="1"/>
  <c r="F16" i="1" s="1"/>
  <c r="N6" i="1"/>
  <c r="O6" i="1" s="1"/>
  <c r="O7" i="1" s="1"/>
  <c r="J6" i="1"/>
  <c r="D17" i="1" l="1"/>
  <c r="D18" i="1" s="1"/>
  <c r="O8" i="1"/>
  <c r="M2" i="1"/>
  <c r="M3" i="1"/>
  <c r="E17" i="1" l="1"/>
  <c r="F17" i="1" s="1"/>
  <c r="E18" i="1"/>
  <c r="F18" i="1" s="1"/>
  <c r="D19" i="1"/>
  <c r="E19" i="1" l="1"/>
  <c r="F19" i="1" s="1"/>
  <c r="D20" i="1"/>
  <c r="D21" i="1" l="1"/>
  <c r="E20" i="1"/>
  <c r="F20" i="1" s="1"/>
  <c r="D22" i="1" l="1"/>
  <c r="E21" i="1"/>
  <c r="F21" i="1" s="1"/>
  <c r="E22" i="1" l="1"/>
  <c r="F22" i="1" s="1"/>
  <c r="D23" i="1"/>
  <c r="D24" i="1" l="1"/>
  <c r="E23" i="1"/>
  <c r="F23" i="1" s="1"/>
  <c r="D25" i="1" l="1"/>
  <c r="E24" i="1"/>
  <c r="F24" i="1" s="1"/>
  <c r="D26" i="1" l="1"/>
  <c r="E25" i="1"/>
  <c r="F25" i="1" s="1"/>
  <c r="E26" i="1" l="1"/>
  <c r="F26" i="1" s="1"/>
  <c r="D27" i="1"/>
  <c r="D28" i="1" l="1"/>
  <c r="E27" i="1"/>
  <c r="F27" i="1" s="1"/>
  <c r="D29" i="1" l="1"/>
  <c r="E28" i="1"/>
  <c r="F28" i="1" s="1"/>
  <c r="D30" i="1" l="1"/>
  <c r="E29" i="1"/>
  <c r="F29" i="1" s="1"/>
  <c r="E30" i="1" l="1"/>
  <c r="F30" i="1" s="1"/>
  <c r="D31" i="1"/>
  <c r="D32" i="1" l="1"/>
  <c r="E31" i="1"/>
  <c r="F31" i="1" s="1"/>
  <c r="D33" i="1" l="1"/>
  <c r="E32" i="1"/>
  <c r="F32" i="1" s="1"/>
  <c r="D34" i="1" l="1"/>
  <c r="E33" i="1"/>
  <c r="F33" i="1" s="1"/>
  <c r="E34" i="1" l="1"/>
  <c r="F34" i="1" s="1"/>
  <c r="D35" i="1"/>
  <c r="E35" i="1" l="1"/>
  <c r="F35" i="1" s="1"/>
  <c r="D36" i="1"/>
  <c r="D39" i="1" l="1"/>
  <c r="D37" i="1"/>
  <c r="E36" i="1"/>
  <c r="F36" i="1" s="1"/>
  <c r="E37" i="1" l="1"/>
  <c r="F37" i="1" s="1"/>
  <c r="D38" i="1"/>
  <c r="E38" i="1" s="1"/>
  <c r="F38" i="1" s="1"/>
  <c r="E39" i="1"/>
  <c r="F39" i="1" s="1"/>
  <c r="F40" i="1"/>
  <c r="L7" i="1" s="1"/>
  <c r="J3" i="1" l="1"/>
  <c r="L6" i="1"/>
  <c r="L8" i="1" s="1"/>
  <c r="J2" i="1"/>
</calcChain>
</file>

<file path=xl/sharedStrings.xml><?xml version="1.0" encoding="utf-8"?>
<sst xmlns="http://schemas.openxmlformats.org/spreadsheetml/2006/main" count="78" uniqueCount="60">
  <si>
    <t>THIS IS BASED ON 24 VOLT DEVICES ONLY</t>
  </si>
  <si>
    <t>Point to Point Method</t>
  </si>
  <si>
    <t>End of Line Method</t>
  </si>
  <si>
    <t>Project Name</t>
  </si>
  <si>
    <t>Calculations and allowable</t>
  </si>
  <si>
    <t>Date</t>
  </si>
  <si>
    <t xml:space="preserve">voltage drop are based on </t>
  </si>
  <si>
    <t>Circuit Number</t>
  </si>
  <si>
    <t>revised UL 1971 &amp; 464 standards</t>
  </si>
  <si>
    <t>Totals</t>
  </si>
  <si>
    <t>Voltage</t>
  </si>
  <si>
    <t>Area Covered</t>
  </si>
  <si>
    <t>for current and limits.</t>
  </si>
  <si>
    <t>Current</t>
  </si>
  <si>
    <t>Distance</t>
  </si>
  <si>
    <t>Drop</t>
  </si>
  <si>
    <t>Nominal System Voltage</t>
  </si>
  <si>
    <t>Minimum Device Voltage</t>
  </si>
  <si>
    <t>End of Line Voltage</t>
  </si>
  <si>
    <t>Total Circuit Current</t>
  </si>
  <si>
    <t>Wire</t>
  </si>
  <si>
    <t>Ohm's</t>
  </si>
  <si>
    <t>Percent Drop</t>
  </si>
  <si>
    <t>Gauge</t>
  </si>
  <si>
    <t>Per 1000</t>
  </si>
  <si>
    <t>End of Line method uses only the wire guage for the first device to source for calculation</t>
  </si>
  <si>
    <t>Distance from source to 1st device</t>
  </si>
  <si>
    <t>Wire Gauge for balance of circuit</t>
  </si>
  <si>
    <t>Enter current in amps.</t>
  </si>
  <si>
    <t xml:space="preserve">Distance </t>
  </si>
  <si>
    <t>.150 = 150 ma</t>
  </si>
  <si>
    <t>from</t>
  </si>
  <si>
    <t>This circuit is sourced from:</t>
  </si>
  <si>
    <t>Device</t>
  </si>
  <si>
    <t>previous</t>
  </si>
  <si>
    <t xml:space="preserve"> At</t>
  </si>
  <si>
    <t>Drop from</t>
  </si>
  <si>
    <t>Percent</t>
  </si>
  <si>
    <t>Number</t>
  </si>
  <si>
    <t>device</t>
  </si>
  <si>
    <t>source</t>
  </si>
  <si>
    <t>Device 1</t>
  </si>
  <si>
    <t>Notes:</t>
  </si>
  <si>
    <t>Wire resistance is doubled in the calculations for two wires (Positive and Negative)</t>
  </si>
  <si>
    <t>The voltage calculated to the last device in any method must not be lower then</t>
  </si>
  <si>
    <t>the manufactures listed minimum operating voltage (IE: rated operating voltage16-33 VDC).</t>
  </si>
  <si>
    <t>Device Manufacturer</t>
  </si>
  <si>
    <t>Current @Rated Voltage</t>
  </si>
  <si>
    <t>Horn Strobes</t>
  </si>
  <si>
    <t>Strobe Only</t>
  </si>
  <si>
    <t>Model #</t>
  </si>
  <si>
    <t>Candela</t>
  </si>
  <si>
    <t>10=1.26</t>
  </si>
  <si>
    <t>12=2.01</t>
  </si>
  <si>
    <t>14=3.19</t>
  </si>
  <si>
    <t>16=5.08</t>
  </si>
  <si>
    <t>18=8.08</t>
  </si>
  <si>
    <t>18-10 Awg = Solid Conductors</t>
  </si>
  <si>
    <r>
      <t>Wire Resistance in Ohms per 1000 feet @ 75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>C.</t>
    </r>
  </si>
  <si>
    <t>NEC - Chapter 9, Table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</si>
</sst>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2" fillId="0" borderId="7" xfId="0" applyNumberFormat="1" applyFont="1" applyBorder="1"/>
    <xf numFmtId="164" fontId="0" fillId="0" borderId="7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7" xfId="0" applyBorder="1" applyAlignment="1">
      <alignment horizontal="right"/>
    </xf>
    <xf numFmtId="2" fontId="2" fillId="0" borderId="7" xfId="0" applyNumberFormat="1" applyFont="1" applyBorder="1" applyAlignment="1">
      <alignment horizontal="center"/>
    </xf>
    <xf numFmtId="164" fontId="0" fillId="0" borderId="7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7" xfId="1" applyNumberFormat="1" applyFont="1" applyBorder="1"/>
    <xf numFmtId="10" fontId="0" fillId="0" borderId="7" xfId="1" applyNumberFormat="1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0" borderId="7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C23" sqref="C23"/>
    </sheetView>
  </sheetViews>
  <sheetFormatPr defaultColWidth="10.625" defaultRowHeight="15.75" x14ac:dyDescent="0.25"/>
  <sheetData>
    <row r="1" spans="1:15" x14ac:dyDescent="0.25">
      <c r="A1" s="75" t="s">
        <v>0</v>
      </c>
      <c r="B1" s="76"/>
      <c r="C1" s="76"/>
      <c r="D1" s="76"/>
      <c r="E1" s="76"/>
      <c r="F1" s="77"/>
      <c r="G1" s="1"/>
      <c r="H1" s="2"/>
      <c r="I1" s="3"/>
      <c r="J1" s="78" t="s">
        <v>1</v>
      </c>
      <c r="K1" s="79"/>
      <c r="L1" s="79"/>
      <c r="M1" s="80" t="s">
        <v>2</v>
      </c>
      <c r="N1" s="80"/>
      <c r="O1" s="80"/>
    </row>
    <row r="2" spans="1:15" x14ac:dyDescent="0.25">
      <c r="A2" s="4" t="s">
        <v>3</v>
      </c>
      <c r="B2" s="4"/>
      <c r="C2" s="59"/>
      <c r="D2" s="60"/>
      <c r="E2" s="60"/>
      <c r="F2" s="60"/>
      <c r="G2" s="5" t="s">
        <v>4</v>
      </c>
      <c r="I2" s="6"/>
      <c r="J2" s="77" t="str">
        <f>IF((L7+0.001)&gt;D7,"CIRCUIT IS WITHIN LIMITS ","")</f>
        <v xml:space="preserve">CIRCUIT IS WITHIN LIMITS </v>
      </c>
      <c r="K2" s="81"/>
      <c r="L2" s="81"/>
      <c r="M2" s="81" t="str">
        <f>IF((O7+0.001)&gt;D7,"CIRCUIT IS WITHIN LIMITS ","")</f>
        <v xml:space="preserve">CIRCUIT IS WITHIN LIMITS </v>
      </c>
      <c r="N2" s="81"/>
      <c r="O2" s="81"/>
    </row>
    <row r="3" spans="1:15" x14ac:dyDescent="0.25">
      <c r="A3" s="4" t="s">
        <v>5</v>
      </c>
      <c r="B3" s="4"/>
      <c r="C3" s="69"/>
      <c r="D3" s="70"/>
      <c r="E3" s="7"/>
      <c r="F3" s="8"/>
      <c r="G3" s="5" t="s">
        <v>6</v>
      </c>
      <c r="I3" s="6"/>
      <c r="J3" s="71" t="str">
        <f>IF((L7+0.001)&gt;D7," ","EXCEEDS DEVICE LIMITS")</f>
        <v xml:space="preserve"> </v>
      </c>
      <c r="K3" s="72"/>
      <c r="L3" s="72"/>
      <c r="M3" s="72" t="str">
        <f>IF((O7+0.001)&gt;D7," ","EXCEEDS DEVICE LIMITS")</f>
        <v xml:space="preserve"> </v>
      </c>
      <c r="N3" s="72"/>
      <c r="O3" s="72"/>
    </row>
    <row r="4" spans="1:15" x14ac:dyDescent="0.25">
      <c r="A4" s="4" t="s">
        <v>7</v>
      </c>
      <c r="B4" s="4"/>
      <c r="C4" s="59"/>
      <c r="D4" s="60"/>
      <c r="E4" s="60"/>
      <c r="F4" s="60"/>
      <c r="G4" s="5" t="s">
        <v>8</v>
      </c>
      <c r="I4" s="6"/>
      <c r="J4" s="73" t="s">
        <v>9</v>
      </c>
      <c r="K4" s="74"/>
      <c r="L4" s="7" t="s">
        <v>10</v>
      </c>
      <c r="M4" s="74" t="s">
        <v>9</v>
      </c>
      <c r="N4" s="74"/>
      <c r="O4" s="7" t="s">
        <v>10</v>
      </c>
    </row>
    <row r="5" spans="1:15" x14ac:dyDescent="0.25">
      <c r="A5" s="4" t="s">
        <v>11</v>
      </c>
      <c r="B5" s="4"/>
      <c r="C5" s="59"/>
      <c r="D5" s="60"/>
      <c r="E5" s="60"/>
      <c r="F5" s="60"/>
      <c r="G5" s="5" t="s">
        <v>12</v>
      </c>
      <c r="I5" s="6"/>
      <c r="J5" s="9" t="s">
        <v>13</v>
      </c>
      <c r="K5" s="7" t="s">
        <v>14</v>
      </c>
      <c r="L5" s="7" t="s">
        <v>15</v>
      </c>
      <c r="M5" s="7" t="s">
        <v>13</v>
      </c>
      <c r="N5" s="7" t="s">
        <v>14</v>
      </c>
      <c r="O5" s="7" t="s">
        <v>15</v>
      </c>
    </row>
    <row r="6" spans="1:15" x14ac:dyDescent="0.25">
      <c r="A6" s="4" t="s">
        <v>16</v>
      </c>
      <c r="B6" s="4"/>
      <c r="C6" s="4"/>
      <c r="D6" s="4">
        <v>20.399999999999999</v>
      </c>
      <c r="E6" s="7"/>
      <c r="F6" s="8"/>
      <c r="G6" s="5"/>
      <c r="I6" s="6"/>
      <c r="J6" s="10">
        <f>$C$8</f>
        <v>1.5820000000000001</v>
      </c>
      <c r="K6" s="7">
        <f>$C$40</f>
        <v>415</v>
      </c>
      <c r="L6" s="11">
        <f>D6-L7</f>
        <v>2.3269774000000005</v>
      </c>
      <c r="M6" s="12">
        <f>$C$8</f>
        <v>1.5820000000000001</v>
      </c>
      <c r="N6" s="7">
        <f>$C$40</f>
        <v>415</v>
      </c>
      <c r="O6" s="13">
        <f>M6*(N6/1000)*(F10*2)</f>
        <v>4.1886614</v>
      </c>
    </row>
    <row r="7" spans="1:15" x14ac:dyDescent="0.25">
      <c r="A7" s="14" t="s">
        <v>17</v>
      </c>
      <c r="B7" s="4"/>
      <c r="C7" s="4"/>
      <c r="D7" s="4">
        <v>16</v>
      </c>
      <c r="E7" s="7"/>
      <c r="F7" s="8"/>
      <c r="G7" s="5"/>
      <c r="I7" s="6"/>
      <c r="J7" s="15"/>
      <c r="K7" s="16" t="s">
        <v>18</v>
      </c>
      <c r="L7" s="11">
        <f>$F$40</f>
        <v>18.073022599999998</v>
      </c>
      <c r="M7" s="4"/>
      <c r="N7" s="16" t="s">
        <v>18</v>
      </c>
      <c r="O7" s="17">
        <f>D6-O6</f>
        <v>16.211338599999998</v>
      </c>
    </row>
    <row r="8" spans="1:15" x14ac:dyDescent="0.25">
      <c r="A8" s="4" t="s">
        <v>19</v>
      </c>
      <c r="B8" s="4"/>
      <c r="C8" s="18">
        <f>SUM($B$16:$B$39)</f>
        <v>1.5820000000000001</v>
      </c>
      <c r="D8" s="8"/>
      <c r="E8" s="7" t="s">
        <v>20</v>
      </c>
      <c r="F8" s="8" t="s">
        <v>21</v>
      </c>
      <c r="G8" s="19"/>
      <c r="H8" s="20"/>
      <c r="I8" s="21"/>
      <c r="J8" s="15"/>
      <c r="K8" s="16" t="s">
        <v>22</v>
      </c>
      <c r="L8" s="22">
        <f>L6/D6</f>
        <v>0.11406751960784317</v>
      </c>
      <c r="M8" s="4"/>
      <c r="N8" s="16" t="s">
        <v>22</v>
      </c>
      <c r="O8" s="23">
        <f>O6/D6</f>
        <v>0.20532653921568628</v>
      </c>
    </row>
    <row r="9" spans="1:15" x14ac:dyDescent="0.25">
      <c r="A9" s="24"/>
      <c r="B9" s="25"/>
      <c r="C9" s="15"/>
      <c r="D9" s="26"/>
      <c r="E9" s="7" t="s">
        <v>23</v>
      </c>
      <c r="F9" s="7" t="s">
        <v>24</v>
      </c>
      <c r="G9" s="61" t="s">
        <v>25</v>
      </c>
      <c r="H9" s="62"/>
      <c r="I9" s="62"/>
      <c r="J9" s="62"/>
      <c r="K9" s="62"/>
      <c r="L9" s="62"/>
      <c r="M9" s="63"/>
      <c r="N9" s="63"/>
      <c r="O9" s="64"/>
    </row>
    <row r="10" spans="1:15" x14ac:dyDescent="0.25">
      <c r="A10" s="4" t="s">
        <v>26</v>
      </c>
      <c r="B10" s="4"/>
      <c r="C10" s="4"/>
      <c r="D10" s="27">
        <v>20</v>
      </c>
      <c r="E10" s="27">
        <v>14</v>
      </c>
      <c r="F10" s="28" t="str">
        <f>IF(E10=12,"2.01",IF(E10=14,"3.19",IF(E10=18,"8.08 ",IF(E10=16,"5.08",IF(E10=10,"1.26")))))</f>
        <v>3.19</v>
      </c>
      <c r="G10" s="61" t="s">
        <v>58</v>
      </c>
      <c r="H10" s="62"/>
      <c r="I10" s="62"/>
      <c r="J10" s="62"/>
      <c r="K10" s="62"/>
      <c r="L10" s="62"/>
      <c r="M10" s="62"/>
      <c r="N10" s="62"/>
      <c r="O10" s="65"/>
    </row>
    <row r="11" spans="1:15" x14ac:dyDescent="0.25">
      <c r="A11" s="4" t="s">
        <v>27</v>
      </c>
      <c r="B11" s="4"/>
      <c r="C11" s="4"/>
      <c r="D11" s="7"/>
      <c r="E11" s="27">
        <v>14</v>
      </c>
      <c r="F11" s="28" t="str">
        <f>IF(E11=12,"2.01",IF(E11=14,"3.19",IF(E11=18,"8.08 ",IF(E11=16,"5.08",IF(E11=10,"1.26")))))</f>
        <v>3.19</v>
      </c>
      <c r="G11" s="29"/>
      <c r="I11" s="30" t="s">
        <v>56</v>
      </c>
      <c r="J11" s="30" t="s">
        <v>55</v>
      </c>
      <c r="K11" s="30" t="s">
        <v>54</v>
      </c>
      <c r="L11" s="30" t="s">
        <v>53</v>
      </c>
      <c r="M11" s="30" t="s">
        <v>52</v>
      </c>
      <c r="N11" s="30"/>
      <c r="O11" s="31"/>
    </row>
    <row r="12" spans="1:15" x14ac:dyDescent="0.25">
      <c r="A12" s="66" t="s">
        <v>28</v>
      </c>
      <c r="B12" s="64"/>
      <c r="C12" s="32" t="s">
        <v>29</v>
      </c>
      <c r="D12" s="26"/>
      <c r="E12" s="26"/>
      <c r="F12" s="33"/>
      <c r="G12" s="19"/>
      <c r="H12" s="20" t="s">
        <v>57</v>
      </c>
      <c r="I12" s="20"/>
      <c r="J12" s="20"/>
      <c r="K12" s="20" t="s">
        <v>59</v>
      </c>
      <c r="L12" s="20"/>
      <c r="M12" s="20"/>
      <c r="N12" s="20"/>
      <c r="O12" s="21"/>
    </row>
    <row r="13" spans="1:15" x14ac:dyDescent="0.25">
      <c r="A13" s="67" t="s">
        <v>30</v>
      </c>
      <c r="B13" s="68"/>
      <c r="C13" s="34" t="s">
        <v>31</v>
      </c>
      <c r="D13" s="66" t="s">
        <v>10</v>
      </c>
      <c r="E13" s="63"/>
      <c r="F13" s="63"/>
      <c r="G13" s="1" t="s">
        <v>32</v>
      </c>
      <c r="H13" s="2"/>
      <c r="I13" s="2"/>
      <c r="J13" s="2"/>
      <c r="K13" s="2"/>
      <c r="L13" s="2"/>
      <c r="M13" s="2"/>
      <c r="N13" s="2"/>
      <c r="O13" s="3"/>
    </row>
    <row r="14" spans="1:15" x14ac:dyDescent="0.25">
      <c r="A14" s="35" t="s">
        <v>33</v>
      </c>
      <c r="B14" s="34" t="s">
        <v>33</v>
      </c>
      <c r="C14" s="36" t="s">
        <v>34</v>
      </c>
      <c r="D14" s="35" t="s">
        <v>35</v>
      </c>
      <c r="E14" s="26" t="s">
        <v>36</v>
      </c>
      <c r="F14" s="26" t="s">
        <v>37</v>
      </c>
      <c r="G14" s="37"/>
      <c r="H14" s="38"/>
      <c r="I14" s="38"/>
      <c r="J14" s="38"/>
      <c r="K14" s="38"/>
      <c r="L14" s="38"/>
      <c r="M14" s="38"/>
      <c r="N14" s="38"/>
      <c r="O14" s="39"/>
    </row>
    <row r="15" spans="1:15" x14ac:dyDescent="0.25">
      <c r="A15" s="40" t="s">
        <v>38</v>
      </c>
      <c r="B15" s="41" t="s">
        <v>13</v>
      </c>
      <c r="C15" s="42" t="s">
        <v>39</v>
      </c>
      <c r="D15" s="40" t="s">
        <v>33</v>
      </c>
      <c r="E15" s="43" t="s">
        <v>40</v>
      </c>
      <c r="F15" s="43" t="s">
        <v>15</v>
      </c>
      <c r="G15" s="44"/>
      <c r="H15" s="45"/>
      <c r="I15" s="45"/>
      <c r="J15" s="45"/>
      <c r="K15" s="45"/>
      <c r="L15" s="45"/>
      <c r="M15" s="45"/>
      <c r="N15" s="45"/>
      <c r="O15" s="46"/>
    </row>
    <row r="16" spans="1:15" x14ac:dyDescent="0.25">
      <c r="A16" s="4" t="s">
        <v>41</v>
      </c>
      <c r="B16" s="47">
        <v>0.125</v>
      </c>
      <c r="C16" s="16">
        <f>$D$10</f>
        <v>20</v>
      </c>
      <c r="D16" s="48">
        <f>$D$6-(F10/1000*SUM(B16:$B$35)*(C16*2))</f>
        <v>20.1981368</v>
      </c>
      <c r="E16" s="12">
        <f t="shared" ref="E16:E39" si="0">$D$6-D16</f>
        <v>0.20186319999999824</v>
      </c>
      <c r="F16" s="49">
        <f t="shared" ref="F16:F39" si="1">E16/$D$6</f>
        <v>9.8952549019606997E-3</v>
      </c>
      <c r="G16" s="1" t="s">
        <v>42</v>
      </c>
      <c r="H16" s="50"/>
      <c r="I16" s="50"/>
      <c r="J16" s="50"/>
      <c r="K16" s="50"/>
      <c r="L16" s="50"/>
      <c r="M16" s="2"/>
      <c r="N16" s="2"/>
      <c r="O16" s="3"/>
    </row>
    <row r="17" spans="1:15" x14ac:dyDescent="0.25">
      <c r="A17" s="4" t="str">
        <f>IF(B17&gt;0,"Device 2","END ")</f>
        <v>Device 2</v>
      </c>
      <c r="B17" s="47">
        <v>0.125</v>
      </c>
      <c r="C17" s="51">
        <v>20</v>
      </c>
      <c r="D17" s="48">
        <f>$D16-(($F$11/1000*SUM($B17:$B$35)*(C17*2)))</f>
        <v>20.012223599999999</v>
      </c>
      <c r="E17" s="12">
        <f t="shared" si="0"/>
        <v>0.38777639999999991</v>
      </c>
      <c r="F17" s="49">
        <f t="shared" si="1"/>
        <v>1.9008647058823526E-2</v>
      </c>
      <c r="G17" s="5" t="s">
        <v>43</v>
      </c>
      <c r="H17" s="52"/>
      <c r="I17" s="52"/>
      <c r="J17" s="26"/>
      <c r="K17" s="26"/>
      <c r="L17" s="26"/>
      <c r="O17" s="6"/>
    </row>
    <row r="18" spans="1:15" x14ac:dyDescent="0.25">
      <c r="A18" s="4" t="str">
        <f>IF(B18&gt;0,"Device 3","END ")</f>
        <v>Device 3</v>
      </c>
      <c r="B18" s="47">
        <v>0.16600000000000001</v>
      </c>
      <c r="C18" s="51">
        <v>50</v>
      </c>
      <c r="D18" s="48">
        <f>$D17-(($F$11/1000*SUM($B18:$B$35)*(C18*2)))</f>
        <v>19.5873156</v>
      </c>
      <c r="E18" s="12">
        <f t="shared" si="0"/>
        <v>0.81268439999999842</v>
      </c>
      <c r="F18" s="49">
        <f t="shared" si="1"/>
        <v>3.9837470588235217E-2</v>
      </c>
      <c r="G18" s="5" t="s">
        <v>44</v>
      </c>
      <c r="O18" s="6"/>
    </row>
    <row r="19" spans="1:15" x14ac:dyDescent="0.25">
      <c r="A19" s="4" t="str">
        <f>IF(B19&gt;0,"Device 4","END ")</f>
        <v>Device 4</v>
      </c>
      <c r="B19" s="47">
        <v>0.25</v>
      </c>
      <c r="C19" s="51">
        <v>50</v>
      </c>
      <c r="D19" s="48">
        <f>$D18-(($F$11/1000*SUM($B19:$B$35)*(C19*2)))</f>
        <v>19.215361600000001</v>
      </c>
      <c r="E19" s="12">
        <f t="shared" si="0"/>
        <v>1.1846383999999972</v>
      </c>
      <c r="F19" s="49">
        <f t="shared" si="1"/>
        <v>5.8070509803921436E-2</v>
      </c>
      <c r="G19" s="5" t="s">
        <v>45</v>
      </c>
      <c r="O19" s="6"/>
    </row>
    <row r="20" spans="1:15" x14ac:dyDescent="0.25">
      <c r="A20" s="4" t="str">
        <f>IF(B20&gt;0,"Device 5","END ")</f>
        <v>Device 5</v>
      </c>
      <c r="B20" s="47">
        <v>0.125</v>
      </c>
      <c r="C20" s="51">
        <v>75</v>
      </c>
      <c r="D20" s="48">
        <f>$D19-(($F$11/1000*SUM($B20:$B$35)*(C20*2)))</f>
        <v>18.777055600000001</v>
      </c>
      <c r="E20" s="12">
        <f t="shared" si="0"/>
        <v>1.622944399999998</v>
      </c>
      <c r="F20" s="49">
        <f t="shared" si="1"/>
        <v>7.9556098039215595E-2</v>
      </c>
      <c r="G20" s="5"/>
      <c r="O20" s="6"/>
    </row>
    <row r="21" spans="1:15" x14ac:dyDescent="0.25">
      <c r="A21" s="4" t="str">
        <f>IF(B21&gt;0,"Device 6","END ")</f>
        <v>Device 6</v>
      </c>
      <c r="B21" s="47">
        <v>0.125</v>
      </c>
      <c r="C21" s="51">
        <v>50</v>
      </c>
      <c r="D21" s="48">
        <f>$D20-(($F$11/1000*SUM($B21:$B$35)*(C21*2)))</f>
        <v>18.524726600000001</v>
      </c>
      <c r="E21" s="12">
        <f t="shared" si="0"/>
        <v>1.8752733999999975</v>
      </c>
      <c r="F21" s="49">
        <f t="shared" si="1"/>
        <v>9.1925166666666558E-2</v>
      </c>
      <c r="G21" s="5" t="s">
        <v>46</v>
      </c>
      <c r="I21" s="53"/>
      <c r="J21" s="54"/>
      <c r="L21" t="s">
        <v>46</v>
      </c>
      <c r="N21" s="53"/>
      <c r="O21" s="54"/>
    </row>
    <row r="22" spans="1:15" ht="47.25" x14ac:dyDescent="0.25">
      <c r="A22" s="4" t="str">
        <f>IF(B22&gt;0,"Device 7","END ")</f>
        <v>Device 7</v>
      </c>
      <c r="B22" s="47">
        <v>0.16600000000000001</v>
      </c>
      <c r="C22" s="51">
        <v>50</v>
      </c>
      <c r="D22" s="48">
        <f>$D21-(($F$11/1000*SUM($B22:$B$35)*(C22*2)))</f>
        <v>18.3122726</v>
      </c>
      <c r="E22" s="12">
        <f t="shared" si="0"/>
        <v>2.0877273999999986</v>
      </c>
      <c r="F22" s="49">
        <f t="shared" si="1"/>
        <v>0.10233957843137248</v>
      </c>
      <c r="G22" s="5"/>
      <c r="J22" s="55" t="s">
        <v>47</v>
      </c>
      <c r="O22" s="55" t="s">
        <v>47</v>
      </c>
    </row>
    <row r="23" spans="1:15" x14ac:dyDescent="0.25">
      <c r="A23" s="4" t="str">
        <f>IF(B23&gt;0,"Device 8","END ")</f>
        <v>Device 8</v>
      </c>
      <c r="B23" s="47">
        <v>0.25</v>
      </c>
      <c r="C23" s="51">
        <v>50</v>
      </c>
      <c r="D23" s="48">
        <f>$D22-(($F$11/1000*SUM($B23:$B$35)*(C23*2)))</f>
        <v>18.152772599999999</v>
      </c>
      <c r="E23" s="12">
        <f t="shared" si="0"/>
        <v>2.2472273999999999</v>
      </c>
      <c r="F23" s="49">
        <f t="shared" si="1"/>
        <v>0.11015820588235294</v>
      </c>
      <c r="G23" s="53" t="s">
        <v>48</v>
      </c>
      <c r="H23" s="56"/>
      <c r="I23" s="54"/>
      <c r="J23" s="32"/>
      <c r="L23" s="53" t="s">
        <v>49</v>
      </c>
      <c r="M23" s="56"/>
      <c r="N23" s="54"/>
      <c r="O23" s="32"/>
    </row>
    <row r="24" spans="1:15" x14ac:dyDescent="0.25">
      <c r="A24" s="4" t="str">
        <f>IF(B24&gt;0,"Device 9","END ")</f>
        <v>Device 9</v>
      </c>
      <c r="B24" s="47">
        <v>0.25</v>
      </c>
      <c r="C24" s="51">
        <v>50</v>
      </c>
      <c r="D24" s="48">
        <f>$D23-(($F$11/1000*SUM($B24:$B$35)*(C24*2)))</f>
        <v>18.073022599999998</v>
      </c>
      <c r="E24" s="12">
        <f t="shared" si="0"/>
        <v>2.3269774000000005</v>
      </c>
      <c r="F24" s="49">
        <f t="shared" si="1"/>
        <v>0.11406751960784317</v>
      </c>
      <c r="G24" s="7" t="s">
        <v>50</v>
      </c>
      <c r="H24" s="7"/>
      <c r="I24" s="24" t="s">
        <v>51</v>
      </c>
      <c r="J24" s="57"/>
      <c r="L24" s="8" t="s">
        <v>50</v>
      </c>
      <c r="M24" s="9"/>
      <c r="N24" s="24" t="s">
        <v>51</v>
      </c>
      <c r="O24" s="58"/>
    </row>
    <row r="25" spans="1:15" x14ac:dyDescent="0.25">
      <c r="A25" s="4" t="str">
        <f>IF(B25&gt;0,"Device 10","END ")</f>
        <v xml:space="preserve">END </v>
      </c>
      <c r="B25" s="47"/>
      <c r="C25" s="51"/>
      <c r="D25" s="48">
        <f>$D24-(($F$11/1000*SUM($B25:$B$35)*(C25*2)))</f>
        <v>18.073022599999998</v>
      </c>
      <c r="E25" s="12">
        <f t="shared" si="0"/>
        <v>2.3269774000000005</v>
      </c>
      <c r="F25" s="49">
        <f t="shared" si="1"/>
        <v>0.11406751960784317</v>
      </c>
      <c r="G25" s="53"/>
      <c r="H25" s="54"/>
      <c r="I25" s="51"/>
      <c r="J25" s="47"/>
      <c r="L25" s="53"/>
      <c r="M25" s="54"/>
      <c r="N25" s="51"/>
      <c r="O25" s="47"/>
    </row>
    <row r="26" spans="1:15" x14ac:dyDescent="0.25">
      <c r="A26" s="4" t="str">
        <f>IF(B26&gt;0,"Device 11","END ")</f>
        <v xml:space="preserve">END </v>
      </c>
      <c r="B26" s="47"/>
      <c r="C26" s="51"/>
      <c r="D26" s="48">
        <f>$D25-(($F$11/1000*SUM($B26:$B$35)*(C26*2)))</f>
        <v>18.073022599999998</v>
      </c>
      <c r="E26" s="12">
        <f t="shared" si="0"/>
        <v>2.3269774000000005</v>
      </c>
      <c r="F26" s="49">
        <f t="shared" si="1"/>
        <v>0.11406751960784317</v>
      </c>
      <c r="G26" s="53"/>
      <c r="H26" s="54"/>
      <c r="I26" s="51"/>
      <c r="J26" s="51"/>
      <c r="L26" s="53"/>
      <c r="M26" s="54"/>
      <c r="N26" s="51"/>
      <c r="O26" s="51"/>
    </row>
    <row r="27" spans="1:15" x14ac:dyDescent="0.25">
      <c r="A27" s="4" t="str">
        <f>IF(B27&gt;0,"Device 12","END ")</f>
        <v xml:space="preserve">END </v>
      </c>
      <c r="B27" s="47"/>
      <c r="C27" s="51"/>
      <c r="D27" s="48">
        <f>$D26-(($F$11/1000*SUM($B27:$B$35)*(C27*2)))</f>
        <v>18.073022599999998</v>
      </c>
      <c r="E27" s="12">
        <f t="shared" si="0"/>
        <v>2.3269774000000005</v>
      </c>
      <c r="F27" s="49">
        <f t="shared" si="1"/>
        <v>0.11406751960784317</v>
      </c>
      <c r="G27" s="53"/>
      <c r="H27" s="54"/>
      <c r="I27" s="51"/>
      <c r="J27" s="51"/>
      <c r="K27" s="38"/>
      <c r="L27" s="53"/>
      <c r="M27" s="54"/>
      <c r="N27" s="51"/>
      <c r="O27" s="51"/>
    </row>
    <row r="28" spans="1:15" x14ac:dyDescent="0.25">
      <c r="A28" s="4" t="str">
        <f>IF(B28&gt;0,"Device 13","END ")</f>
        <v xml:space="preserve">END </v>
      </c>
      <c r="B28" s="47"/>
      <c r="C28" s="51"/>
      <c r="D28" s="48">
        <f>$D27-(($F$11/1000*SUM($B28:$B$35)*(C28*2)))</f>
        <v>18.073022599999998</v>
      </c>
      <c r="E28" s="12">
        <f t="shared" si="0"/>
        <v>2.3269774000000005</v>
      </c>
      <c r="F28" s="49">
        <f t="shared" si="1"/>
        <v>0.11406751960784317</v>
      </c>
      <c r="G28" s="53"/>
      <c r="H28" s="54"/>
      <c r="I28" s="51"/>
      <c r="J28" s="51"/>
      <c r="K28" s="38"/>
      <c r="L28" s="53"/>
      <c r="M28" s="54"/>
      <c r="N28" s="51"/>
      <c r="O28" s="51"/>
    </row>
    <row r="29" spans="1:15" x14ac:dyDescent="0.25">
      <c r="A29" s="4" t="str">
        <f>IF(B29&gt;0,"Device 14","END ")</f>
        <v xml:space="preserve">END </v>
      </c>
      <c r="B29" s="47"/>
      <c r="C29" s="51"/>
      <c r="D29" s="48">
        <f>$D28-(($F$11/1000*SUM($B29:$B$35)*(C29*2)))</f>
        <v>18.073022599999998</v>
      </c>
      <c r="E29" s="12">
        <f t="shared" si="0"/>
        <v>2.3269774000000005</v>
      </c>
      <c r="F29" s="49">
        <f t="shared" si="1"/>
        <v>0.11406751960784317</v>
      </c>
      <c r="G29" s="53"/>
      <c r="H29" s="54"/>
      <c r="I29" s="51"/>
      <c r="J29" s="47"/>
      <c r="K29" s="38"/>
      <c r="L29" s="53"/>
      <c r="M29" s="54"/>
      <c r="N29" s="51"/>
      <c r="O29" s="47"/>
    </row>
    <row r="30" spans="1:15" x14ac:dyDescent="0.25">
      <c r="A30" s="4" t="str">
        <f>IF(B30&gt;0,"Device 15","END ")</f>
        <v xml:space="preserve">END </v>
      </c>
      <c r="B30" s="47"/>
      <c r="C30" s="51"/>
      <c r="D30" s="48">
        <f>$D29-(($F$11/1000*SUM($B30:$B$35)*(C30*2)))</f>
        <v>18.073022599999998</v>
      </c>
      <c r="E30" s="12">
        <f t="shared" si="0"/>
        <v>2.3269774000000005</v>
      </c>
      <c r="F30" s="49">
        <f t="shared" si="1"/>
        <v>0.11406751960784317</v>
      </c>
      <c r="G30" s="53"/>
      <c r="H30" s="54"/>
      <c r="I30" s="51"/>
      <c r="J30" s="47"/>
      <c r="K30" s="38"/>
      <c r="L30" s="53"/>
      <c r="M30" s="54"/>
      <c r="N30" s="51"/>
      <c r="O30" s="47"/>
    </row>
    <row r="31" spans="1:15" x14ac:dyDescent="0.25">
      <c r="A31" s="4" t="str">
        <f>IF(B31&gt;0,"Device 16","END ")</f>
        <v xml:space="preserve">END </v>
      </c>
      <c r="B31" s="47"/>
      <c r="C31" s="51"/>
      <c r="D31" s="48">
        <f>$D30-(($F$11/1000*SUM($B31:$B$35)*(C31*2)))</f>
        <v>18.073022599999998</v>
      </c>
      <c r="E31" s="12">
        <f t="shared" si="0"/>
        <v>2.3269774000000005</v>
      </c>
      <c r="F31" s="49">
        <f t="shared" si="1"/>
        <v>0.11406751960784317</v>
      </c>
      <c r="G31" s="53"/>
      <c r="H31" s="54"/>
      <c r="I31" s="51"/>
      <c r="J31" s="47"/>
      <c r="K31" s="38"/>
      <c r="L31" s="53"/>
      <c r="M31" s="54"/>
      <c r="N31" s="51"/>
      <c r="O31" s="47"/>
    </row>
    <row r="32" spans="1:15" x14ac:dyDescent="0.25">
      <c r="A32" s="4" t="str">
        <f>IF(B32&gt;0,"Device 17","END ")</f>
        <v xml:space="preserve">END </v>
      </c>
      <c r="B32" s="47"/>
      <c r="C32" s="51"/>
      <c r="D32" s="48">
        <f>$D31-(($F$11/1000*SUM($B32:$B$35)*(C32*2)))</f>
        <v>18.073022599999998</v>
      </c>
      <c r="E32" s="12">
        <f t="shared" si="0"/>
        <v>2.3269774000000005</v>
      </c>
      <c r="F32" s="49">
        <f t="shared" si="1"/>
        <v>0.11406751960784317</v>
      </c>
      <c r="G32" s="53"/>
      <c r="H32" s="54"/>
      <c r="I32" s="51"/>
      <c r="J32" s="47"/>
      <c r="K32" s="38"/>
      <c r="L32" s="53"/>
      <c r="M32" s="54"/>
      <c r="N32" s="51"/>
      <c r="O32" s="47"/>
    </row>
    <row r="33" spans="1:15" x14ac:dyDescent="0.25">
      <c r="A33" s="4" t="str">
        <f>IF(B33&gt;0,"Device 18","END ")</f>
        <v xml:space="preserve">END </v>
      </c>
      <c r="B33" s="47"/>
      <c r="C33" s="51"/>
      <c r="D33" s="48">
        <f>$D32-(($F$11/1000*SUM($B33:$B$35)*(C33*2)))</f>
        <v>18.073022599999998</v>
      </c>
      <c r="E33" s="12">
        <f t="shared" si="0"/>
        <v>2.3269774000000005</v>
      </c>
      <c r="F33" s="49">
        <f t="shared" si="1"/>
        <v>0.11406751960784317</v>
      </c>
      <c r="G33" s="53"/>
      <c r="H33" s="54"/>
      <c r="I33" s="51"/>
      <c r="J33" s="47"/>
      <c r="K33" s="38"/>
      <c r="L33" s="53"/>
      <c r="M33" s="54"/>
      <c r="N33" s="51"/>
      <c r="O33" s="47"/>
    </row>
    <row r="34" spans="1:15" x14ac:dyDescent="0.25">
      <c r="A34" s="4" t="str">
        <f>IF(B34&gt;0,"Device 19","END ")</f>
        <v xml:space="preserve">END </v>
      </c>
      <c r="B34" s="47"/>
      <c r="C34" s="51"/>
      <c r="D34" s="48">
        <f>$D33-(($F$11/1000*SUM($B34:$B$35)*(C34*2)))</f>
        <v>18.073022599999998</v>
      </c>
      <c r="E34" s="12">
        <f t="shared" si="0"/>
        <v>2.3269774000000005</v>
      </c>
      <c r="F34" s="49">
        <f t="shared" si="1"/>
        <v>0.11406751960784317</v>
      </c>
      <c r="G34" s="53"/>
      <c r="H34" s="54"/>
      <c r="I34" s="51"/>
      <c r="J34" s="47"/>
      <c r="K34" s="38"/>
      <c r="L34" s="53"/>
      <c r="M34" s="54"/>
      <c r="N34" s="51"/>
      <c r="O34" s="47"/>
    </row>
    <row r="35" spans="1:15" x14ac:dyDescent="0.25">
      <c r="A35" s="4" t="str">
        <f>IF(B35&gt;0,"Device 20","END ")</f>
        <v xml:space="preserve">END </v>
      </c>
      <c r="B35" s="47"/>
      <c r="C35" s="51"/>
      <c r="D35" s="48">
        <f>$D34-(($F$11/1000*SUM($B35:$B$35)*(C35*2)))</f>
        <v>18.073022599999998</v>
      </c>
      <c r="E35" s="12">
        <f t="shared" si="0"/>
        <v>2.3269774000000005</v>
      </c>
      <c r="F35" s="49">
        <f t="shared" si="1"/>
        <v>0.11406751960784317</v>
      </c>
      <c r="G35" s="53"/>
      <c r="H35" s="54"/>
      <c r="I35" s="51"/>
      <c r="J35" s="47"/>
      <c r="K35" s="45"/>
      <c r="L35" s="53"/>
      <c r="M35" s="54"/>
      <c r="N35" s="51"/>
      <c r="O35" s="47"/>
    </row>
    <row r="36" spans="1:15" x14ac:dyDescent="0.25">
      <c r="A36" s="4" t="str">
        <f>IF(B36&gt;0,"Device 21","END ")</f>
        <v xml:space="preserve">END </v>
      </c>
      <c r="B36" s="47"/>
      <c r="C36" s="51"/>
      <c r="D36" s="48">
        <f>$D35-(($F$11/1000*SUM($B$35:$B36)*(C36*2)))</f>
        <v>18.073022599999998</v>
      </c>
      <c r="E36" s="12">
        <f t="shared" si="0"/>
        <v>2.3269774000000005</v>
      </c>
      <c r="F36" s="49">
        <f t="shared" si="1"/>
        <v>0.11406751960784317</v>
      </c>
      <c r="G36" s="5"/>
      <c r="O36" s="6"/>
    </row>
    <row r="37" spans="1:15" x14ac:dyDescent="0.25">
      <c r="A37" s="4" t="str">
        <f>IF(B37&gt;0,"Device 22","END ")</f>
        <v xml:space="preserve">END </v>
      </c>
      <c r="B37" s="47"/>
      <c r="C37" s="51"/>
      <c r="D37" s="48">
        <f>$D36-(($F$11/1000*SUM($B$35:$B37)*(C37*2)))</f>
        <v>18.073022599999998</v>
      </c>
      <c r="E37" s="12">
        <f t="shared" si="0"/>
        <v>2.3269774000000005</v>
      </c>
      <c r="F37" s="49">
        <f t="shared" si="1"/>
        <v>0.11406751960784317</v>
      </c>
      <c r="G37" s="5"/>
      <c r="O37" s="6"/>
    </row>
    <row r="38" spans="1:15" x14ac:dyDescent="0.25">
      <c r="A38" s="4" t="str">
        <f>IF(B38&gt;0,"Device 23","END ")</f>
        <v xml:space="preserve">END </v>
      </c>
      <c r="B38" s="47"/>
      <c r="C38" s="51"/>
      <c r="D38" s="48">
        <f>$D37-(($F$11/1000*SUM($B$35:$B38)*(C38*2)))</f>
        <v>18.073022599999998</v>
      </c>
      <c r="E38" s="12">
        <f t="shared" si="0"/>
        <v>2.3269774000000005</v>
      </c>
      <c r="F38" s="49">
        <f t="shared" si="1"/>
        <v>0.11406751960784317</v>
      </c>
      <c r="G38" s="5"/>
      <c r="O38" s="6"/>
    </row>
    <row r="39" spans="1:15" x14ac:dyDescent="0.25">
      <c r="A39" s="4" t="str">
        <f>IF(B39&gt;0,"Device 24","END ")</f>
        <v xml:space="preserve">END </v>
      </c>
      <c r="B39" s="47"/>
      <c r="C39" s="51"/>
      <c r="D39" s="48">
        <f>$D36-(($F$11/1000*SUM($B$35:$B39)*(C39*2)))</f>
        <v>18.073022599999998</v>
      </c>
      <c r="E39" s="12">
        <f t="shared" si="0"/>
        <v>2.3269774000000005</v>
      </c>
      <c r="F39" s="49">
        <f t="shared" si="1"/>
        <v>0.11406751960784317</v>
      </c>
      <c r="G39" s="5"/>
      <c r="O39" s="6"/>
    </row>
    <row r="40" spans="1:15" x14ac:dyDescent="0.25">
      <c r="A40" s="4" t="s">
        <v>9</v>
      </c>
      <c r="B40" s="12"/>
      <c r="C40" s="7">
        <f>SUM(C17:C39)+D10</f>
        <v>415</v>
      </c>
      <c r="D40" s="4" t="s">
        <v>18</v>
      </c>
      <c r="E40" s="13"/>
      <c r="F40" s="17">
        <f>$D$39</f>
        <v>18.073022599999998</v>
      </c>
      <c r="G40" s="19"/>
      <c r="H40" s="20"/>
      <c r="I40" s="20"/>
      <c r="J40" s="20"/>
      <c r="K40" s="20"/>
      <c r="L40" s="20"/>
      <c r="M40" s="20"/>
      <c r="N40" s="20"/>
      <c r="O40" s="21"/>
    </row>
  </sheetData>
  <mergeCells count="18">
    <mergeCell ref="A1:F1"/>
    <mergeCell ref="J1:L1"/>
    <mergeCell ref="M1:O1"/>
    <mergeCell ref="C2:F2"/>
    <mergeCell ref="J2:L2"/>
    <mergeCell ref="M2:O2"/>
    <mergeCell ref="C3:D3"/>
    <mergeCell ref="J3:L3"/>
    <mergeCell ref="M3:O3"/>
    <mergeCell ref="C4:F4"/>
    <mergeCell ref="J4:K4"/>
    <mergeCell ref="M4:N4"/>
    <mergeCell ref="C5:F5"/>
    <mergeCell ref="G9:O9"/>
    <mergeCell ref="G10:O10"/>
    <mergeCell ref="A12:B12"/>
    <mergeCell ref="A13:B13"/>
    <mergeCell ref="D13:F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D7339C1C790439B3D858BCA01A386" ma:contentTypeVersion="18" ma:contentTypeDescription="Create a new document." ma:contentTypeScope="" ma:versionID="dda8e57e71b2722d7c78ada72820d7ae">
  <xsd:schema xmlns:xsd="http://www.w3.org/2001/XMLSchema" xmlns:xs="http://www.w3.org/2001/XMLSchema" xmlns:p="http://schemas.microsoft.com/office/2006/metadata/properties" xmlns:ns2="20c3f047-55f9-4955-9239-98d43ce368da" xmlns:ns3="7c2a84ce-a365-4714-969e-e76ef8e95064" targetNamespace="http://schemas.microsoft.com/office/2006/metadata/properties" ma:root="true" ma:fieldsID="69c3b4f0ef3a3e580babe75bfddcb92a" ns2:_="" ns3:_="">
    <xsd:import namespace="20c3f047-55f9-4955-9239-98d43ce368da"/>
    <xsd:import namespace="7c2a84ce-a365-4714-969e-e76ef8e95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3f047-55f9-4955-9239-98d43ce36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7c838-7e8c-4f15-a4f7-c9ed144b7d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a84ce-a365-4714-969e-e76ef8e95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483e65-df6d-472b-8ba9-58b507badec9}" ma:internalName="TaxCatchAll" ma:showField="CatchAllData" ma:web="7c2a84ce-a365-4714-969e-e76ef8e950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c3f047-55f9-4955-9239-98d43ce368da">
      <Terms xmlns="http://schemas.microsoft.com/office/infopath/2007/PartnerControls"/>
    </lcf76f155ced4ddcb4097134ff3c332f>
    <TaxCatchAll xmlns="7c2a84ce-a365-4714-969e-e76ef8e950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88BF-9292-4144-AF80-91C2EBC21EA1}"/>
</file>

<file path=customXml/itemProps2.xml><?xml version="1.0" encoding="utf-8"?>
<ds:datastoreItem xmlns:ds="http://schemas.openxmlformats.org/officeDocument/2006/customXml" ds:itemID="{66805E8C-45E8-412D-A23F-BC8F920953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8B2151-5F80-4170-817F-8DCBFC8BF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Hammerberg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Hammerberg</dc:creator>
  <cp:lastModifiedBy>Rietz, Larry</cp:lastModifiedBy>
  <dcterms:created xsi:type="dcterms:W3CDTF">2015-12-10T00:48:41Z</dcterms:created>
  <dcterms:modified xsi:type="dcterms:W3CDTF">2024-01-22T22:28:25Z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0x0101002EFD7339C1C790439B3D858BCA01A386</vt:lpwstr>
  </property>
</Properties>
</file>